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worksheets/sheet1.xml" ContentType="application/vnd.openxmlformats-officedocument.spreadsheetml.worksheet+xml"/>
  <Override PartName="/xl/sharedStrings.xml" ContentType="application/vnd.openxmlformats-officedocument.spreadsheetml.sharedStrings+xml"/>
  <Override PartName="/xl/calcChain.xml" ContentType="application/vnd.openxmlformats-officedocument.spreadsheetml.calcChain+xml"/>
</Types>
</file>

<file path=_rels/.rels><?xml version="1.0" encoding="UTF-8" standalone="yes"?><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10222"/>
  <workbookPr defaultThemeVersion="202300"/>
  <mc:AlternateContent xmlns:mc="http://schemas.openxmlformats.org/markup-compatibility/2006">
    <mc:Choice Requires="x15">
      <x15ac:absPath xmlns:x15ac="http://schemas.microsoft.com/office/spreadsheetml/2010/11/ac" url="/Users/zodiacuat/Downloads/"/>
    </mc:Choice>
  </mc:AlternateContent>
  <bookViews>
    <workbookView xWindow="0" yWindow="500" windowWidth="35840" windowHeight="21900" activeTab="0"/>
  </bookViews>
  <sheets>
    <sheet name="Згадування" sheetId="1" r:id="rId3"/>
  </sheets>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 i="1" l="1"/>
</calcChain>
</file>

<file path=xl/sharedStrings.xml><?xml version="1.0" encoding="utf-8"?>
<sst xmlns="http://schemas.openxmlformats.org/spreadsheetml/2006/main" count="19397" uniqueCount="3511">
  <si>
    <t>Дата</t>
  </si>
  <si>
    <t>Час</t>
  </si>
  <si>
    <t>Заголовок</t>
  </si>
  <si>
    <t>Текст</t>
  </si>
  <si>
    <t>Тип посту</t>
  </si>
  <si>
    <t>Типи контенту</t>
  </si>
  <si>
    <t>URL</t>
  </si>
  <si>
    <t>Тональність</t>
  </si>
  <si>
    <t>Автор</t>
  </si>
  <si>
    <t>Нікнейм</t>
  </si>
  <si>
    <t>Профіль</t>
  </si>
  <si>
    <t>Підписники</t>
  </si>
  <si>
    <t>Демографія</t>
  </si>
  <si>
    <t>Джерело</t>
  </si>
  <si>
    <t>Місце публікації</t>
  </si>
  <si>
    <t>Профіль місця публікації</t>
  </si>
  <si>
    <t>Підписники місця публікації</t>
  </si>
  <si>
    <t>Тип джерела</t>
  </si>
  <si>
    <t>Мова</t>
  </si>
  <si>
    <t>Країна</t>
  </si>
  <si>
    <t>Регіон</t>
  </si>
  <si>
    <t>Місто</t>
  </si>
  <si>
    <t>02.03.2026</t>
  </si>
  <si>
    <t>09:54</t>
  </si>
  <si>
    <t/>
  </si>
  <si>
    <t>Донька мера Тернополя Сергія Надала придбала віллу майже за 2 млн доларів в престижному районі Маямі Coral Gables. 
Нерухомість оформлена на її чоловіка Рубена Родрігеса, офіційних доходів для такої покупки у нього не зафіксовано. Крім того, вона купила апартаменти у Маямі за 380 тисяч доларів без підтверджених джерел коштів.
Раніше НАБУ та САП відкривали провадження щодо можливого незаконного збагачення Сергія Надала.
@ukraine_dniprocity
https://www.instagram.com/p/DVWWGcHDPdC/?igsh=YzN6emF5bnZweDh4</t>
  </si>
  <si>
    <t>Пост</t>
  </si>
  <si>
    <t>Посилання,Зображення</t>
  </si>
  <si>
    <t>Негативна</t>
  </si>
  <si>
    <t>Александровна Александровна</t>
  </si>
  <si>
    <t>Жінка</t>
  </si>
  <si>
    <t>facebook.com</t>
  </si>
  <si>
    <t>Соціальні мережі</t>
  </si>
  <si>
    <t>Українська</t>
  </si>
  <si>
    <t>Україна</t>
  </si>
  <si>
    <t>Сумська область</t>
  </si>
  <si>
    <t>09:52</t>
  </si>
  <si>
    <t>Донька мера Тернополя Сергія Надала придбала віллу майже за 2 млн доларів в престижному районі Маямі Coral Gables. 
Нерухомість оформлена на її чоловіка Рубена Родрігеса, офіційних доходів для такої покупки у нього не зафіксовано. Крім того, вона купила апартаменти у Маямі за 380 тисяч доларів без підтверджених джерел коштів.
Раніше НАБУ та САП відкривали провадження щодо можливого незаконного збагачення Сергія Надала.
@ukraine_dniprocity
https://www.instagram.com/p/DVWWGcHDPdC/?igsh=MTNocG54YXh5bXpjNg%3D%3D</t>
  </si>
  <si>
    <t>Serzh Kamysh</t>
  </si>
  <si>
    <t>serhz.kamysh</t>
  </si>
  <si>
    <t>Чоловік</t>
  </si>
  <si>
    <t>Львівська область</t>
  </si>
  <si>
    <t>Львів</t>
  </si>
  <si>
    <t>08:27</t>
  </si>
  <si>
    <t>Донька мера Тернополя купила маєток в Маямі за майже 2 млн доларів.
Вілла Анастасії Надал знаходиться в одному з найпрестижніших районів Маямі Coral Gables і офорлена на чоловіка Рубена Родрігеса. Офіційних доходів для придбання такої нерухомості у чоловіка не було.
Крім того, Надал придбала апартаменти у Маямі за 380 тисяч доларів також без підтвердження доходів.
НАБУ і САП відкрили провадження щодо незаконного збагачення Сергія Надала, але справа чомусь заглохла. Чому?</t>
  </si>
  <si>
    <t>Репост</t>
  </si>
  <si>
    <t>Текст,Альбоми,Зображення</t>
  </si>
  <si>
    <t>Галина Бойко</t>
  </si>
  <si>
    <t>08:22</t>
  </si>
  <si>
    <t>Донька мера Тернополя Сергія Надала придбала віллу майже за 2 млн доларів в престижному районі Маямі Coral Gables. 
Нерухомість оформлена на її чоловіка Рубена Родрігеса, офіційних доходів для такої покупки у нього не зафіксовано. Крім того, вона купила апартаменти у Маямі за 380 тисяч доларів без підтверджених джерел коштів.
Раніше НАБУ та САП відкривали провадження щодо можливого незаконного збагачення Сергія Надала.</t>
  </si>
  <si>
    <t>Гуцулка Оляна</t>
  </si>
  <si>
    <t>Olyana.Gutculka</t>
  </si>
  <si>
    <t>Підслухано СТРИЙ Stryy</t>
  </si>
  <si>
    <t>08:05</t>
  </si>
  <si>
    <t>Папа, а каким бизнесом ты посоветовал бы мне заняться? 🤔
Политикой, детка! Исключительно политикой! 😎
Инвестиций практически никаких, а "выхлоп", никто ещё не сумел посчитать, так как деньги просто текут рекой, не зная ни налогообложения, ни отчётности, ни ответственности! 
И да, никаких бухгалтеров, офисов, сотрудников и прочей головной боли, как у этих, как их называют, а, вспомнил, предпринимателей... 😎👍
Донька мера Тернополя Сергія Надала придбала віллу майже за 2 млн доларів в престижному районі Маямі Coral Gables. 
Нерухомість оформлена на її чоловіка Рубена Родрігеса, офіційних доходів для такої покупки у нього не зафіксовано. Крім того, вона купила апартаменти у Маямі за 380 тисяч доларів без підтверджених джерел коштів.
Раніше НАБУ та САП відкривали провадження щодо можливого незаконного збагачення Сергія Надала.
@ukraine_dniprocity
https://www.instagram.com/p/DVWWGcHDPdC/?igsh=MjAyZTYwOWFjOA%3D%3D</t>
  </si>
  <si>
    <t>Текст,Посилання,Зображення</t>
  </si>
  <si>
    <t>Виктор Горбун</t>
  </si>
  <si>
    <t>Російська</t>
  </si>
  <si>
    <t>Київ</t>
  </si>
  <si>
    <t>07:28</t>
  </si>
  <si>
    <t>Донька мера Тернополя Сергія Надала придбала віллу майже за 2 млн доларів в престижному районі Маямі Coral Gables. 
Нерухомість оформлена на її чоловіка Рубена Родрігеса, офіційних доходів для такої покупки у нього не зафіксовано. Крім того, вона купила апартаменти у Маямі за 380 тисяч доларів без підтверджених джерел коштів.
Раніше НАБУ та САП відкривали провадження щодо можливого незаконного збагачення Сергія Надала.
@ukraine_dniprocity
https://www.instagram.com/p/DVWWGcHDPdC/?igsh=ZGp5MGo1dWVvcTIx</t>
  </si>
  <si>
    <t>Валерій Чопей</t>
  </si>
  <si>
    <t>Польща</t>
  </si>
  <si>
    <t>Любуське воєводство</t>
  </si>
  <si>
    <t>Нове-Мястечко</t>
  </si>
  <si>
    <t>05:57</t>
  </si>
  <si>
    <t>Жирують на гроші людей</t>
  </si>
  <si>
    <t>ТЕРНОПІЛЬЩИНА</t>
  </si>
  <si>
    <t>05:32</t>
  </si>
  <si>
    <t>Донька мера Тернополя Сергія Надала придбала віллу майже за 2 млн доларів в престижному районі Маямі Coral Gables. 
Нерухомість оформлена на її чоловіка Рубена Родрігеса, офіційних доходів для такої покупки у нього не зафіксовано. Крім того, вона купила апартаменти у Маямі за 380 тисяч доларів без підтверджених джерел коштів.
Раніше НАБУ та САП відкривали провадження щодо можливого незаконного збагачення Сергія Надала.
@ukraine_dniprocity
https://www.instagram.com/p/DVWWGcHDPdC/?igsh=eWl1dWZubHh5dzhq</t>
  </si>
  <si>
    <t>Андрій Дзюба</t>
  </si>
  <si>
    <t>03:57</t>
  </si>
  <si>
    <t>Майже за 2 млн доларів донька мера Тернополя купила маєток у Маямі Нова вілла Анастасії Надал знаходиться в одному з</t>
  </si>
  <si>
    <t>Тільки сліпий не писав цю інформацію 🤣🤣🤣</t>
  </si>
  <si>
    <t>Коментар</t>
  </si>
  <si>
    <t>Надія Бідна</t>
  </si>
  <si>
    <t>Надежда Павлик</t>
  </si>
  <si>
    <t>Черкаська область</t>
  </si>
  <si>
    <t>Сміла</t>
  </si>
  <si>
    <t>03:35</t>
  </si>
  <si>
    <t>Донька мера Тернополя купила маєток в Маямі за майже 2 млн доларів. Вілла Анастасії Надал знаходиться в одному з</t>
  </si>
  <si>
    <t>Пишаемось 😆</t>
  </si>
  <si>
    <t>Игорь Николаевич</t>
  </si>
  <si>
    <t>igor.isak.5</t>
  </si>
  <si>
    <t>Тетяна Ярчак</t>
  </si>
  <si>
    <t>Невизначена (кирилиця)</t>
  </si>
  <si>
    <t>США</t>
  </si>
  <si>
    <t>Флорида</t>
  </si>
  <si>
    <t>Маямі</t>
  </si>
  <si>
    <t>03:34</t>
  </si>
  <si>
    <t>Патріотка</t>
  </si>
  <si>
    <t>Допомога Алекс</t>
  </si>
  <si>
    <t>Канада</t>
  </si>
  <si>
    <t>Онтаріо</t>
  </si>
  <si>
    <t>Торонто</t>
  </si>
  <si>
    <t>01:09</t>
  </si>
  <si>
    <t>Донька мера Тернополя Сергія Надала придбала віллу майже за 2 млн доларів в престижному районі Маямі Coral Gables. 
Нерухомість оформлена на її чоловіка Рубена Родрігеса, офіційних доходів для такої покупки у нього не зафіксовано. Крім того, вона купила апартаменти у Маямі за 380 тисяч доларів без підтверджених джерел коштів.
Раніше НАБУ та САП відкривали провадження щодо можливого незаконного збагачення Сергія Надала.
@ukraine_dniprocity
https://www.instagram.com/p/DVWWGcHDPdC/?igsh=ZnQ2cHh1MXZkc285</t>
  </si>
  <si>
    <t>Надія Мельник</t>
  </si>
  <si>
    <t>nadiyamelnik</t>
  </si>
  <si>
    <t>00:29</t>
  </si>
  <si>
    <t>Доброго здоров'я ДРУЗІ 👋
Такі новини це шок ‼️
Залишається на совісті тих - хто НАС грабує...
А ми, я, моя родина та знайомі - й далі продовжуємо збирати по гривні для ЗСУ 🇺🇦 БО ВЗЯЛИ НА СЕБЕ ВІДПОВІДАЛЬНІСТЬ НАШЕ СПІЛЬНЕ МАЙБУТНЬЄ В УКРАЇНІ.
Дуже прошу допомогти репостом або будь - якою сумою 🙋‍♀️
Для мого родича в ЗСУ, який знаходиться на Слов'янському напрямку (60 бригада) - там терміново потрібна машина, щоб вижити і рятувати інших 🙏🏻
Номер картки банки
• 4874 1000 2371 3749
https://send.monobank.ua/jar/8UKyVBqxtV
Майже за 2 млн доларів донька мера Тернополя купила маєток у Маямі
Нова вілла Анастасії Надал знаходиться в одному з найпрестижніших районів Маямі Coral Gables і оформлена на чоловіка Рубена Родрігеса. Офіційних доходів для придбання такої нерухомості в чоловіка не було.
Крім того, Надал придбала апартаменти у Маямі за 380 тисяч доларів також без підтвердження доходів.
А ми по 50 гривень збираємо на дрони у пенсіонерів та робочого класу . 
Я манікюр роблю раз в 2 місяці з почуттям провини , що ті кошти могли б допомогти тим, хто в окопі , а тут - мільйони ...</t>
  </si>
  <si>
    <t>Доповнений репост</t>
  </si>
  <si>
    <t>Текст,Зображення</t>
  </si>
  <si>
    <t>Natalya Kisluk</t>
  </si>
  <si>
    <t>nkisluk</t>
  </si>
  <si>
    <t>00:16</t>
  </si>
  <si>
    <t>Донька мера Тернополя Сергія Надала придбала віллу майже за 2 млн доларів в престижному районі Маямі Coral Gables. 
Нерухомість оформлена на її чоловіка Рубена Родрігеса, офіційних доходів для такої покупки у нього не зафіксовано. Крім того, вона купила апартаменти у Маямі за 380 тисяч доларів без підтверджених джерел коштів.
Раніше НАБУ та САП відкривали провадження щодо можливого незаконного збагачення Сергія Надала.
@ukraine_dniprocity
https://www.instagram.com/p/DVWWGcHDPdC/?igsh=MWE0ZGNzMWQxM3A1OA%3D%3D</t>
  </si>
  <si>
    <t>Andrey Verenič</t>
  </si>
  <si>
    <t>Бельгія</t>
  </si>
  <si>
    <t>Фландрия</t>
  </si>
  <si>
    <t>Синт-Гиллис-Вас</t>
  </si>
  <si>
    <t>00:13</t>
  </si>
  <si>
    <t>Донька мера Тернополя Сергія Надала придбала віллу майже за 2 млн доларів в престижному районі Маямі Coral Gables. 
Нерухомість оформлена на її чоловіка Рубена Родрігеса, офіційних доходів для такої покупки у нього не зафіксовано. Крім того, вона купила апартаменти у Маямі за 380 тисяч доларів без підтверджених джерел коштів.
Раніше НАБУ та САП відкривали провадження щодо можливого незаконного збагачення Сергія Надала.
@ukraine_dniprocity
https://www.instagram.com/p/DVWWGcHDPdC/?igsh=d2hhYW9hdHd5aGly</t>
  </si>
  <si>
    <t>Iruna Olegivna</t>
  </si>
  <si>
    <t>iruna.olegivna</t>
  </si>
  <si>
    <t>00:03</t>
  </si>
  <si>
    <t>Марія Саік</t>
  </si>
  <si>
    <t>Іспанія</t>
  </si>
  <si>
    <t>Андалусія</t>
  </si>
  <si>
    <t>Малага</t>
  </si>
  <si>
    <t>01.03.2026</t>
  </si>
  <si>
    <t>23:21</t>
  </si>
  <si>
    <t>Це вже не просто корупція! Це вже якийсь "вищий пілотаж"!</t>
  </si>
  <si>
    <t>Мирослава Периста</t>
  </si>
  <si>
    <t>23:16</t>
  </si>
  <si>
    <t>Донька мера Тернополя Сергія Надала придбала віллу майже за 2 млн доларів в престижному районі Маямі Coral Gables. 
Нерухомість оформлена на її чоловіка Рубена Родрігеса, офіційних доходів для такої покупки у нього не зафіксовано. Крім того, вона купила апартаменти у Маямі за 380 тисяч доларів без підтверджених джерел коштів.
Раніше НАБУ та САП відкривали провадження щодо можливого незаконного збагачення Сергія Надала.
@ukraine_dniprocity
https://www.instagram.com/p/DVWWGcHDPdC/?igsh=MWl2ZWVndGhuMjBnbA%3D%3D</t>
  </si>
  <si>
    <t>Ruslan Saviak</t>
  </si>
  <si>
    <t>Іллінойс</t>
  </si>
  <si>
    <t>Чикаго</t>
  </si>
  <si>
    <t>22:46</t>
  </si>
  <si>
    <t>Донька мера Тернополя придбала елітну нерухомість у США: суми вражають
https://www.stopcor.org/ukr/section-uanews/news-donka-mera-ternopolya-pridbala-elitnu-neruhomist-u-ssha-sumi-vrazhayut-27-02-2026.html</t>
  </si>
  <si>
    <t>Дмитро Олександрович Бойко</t>
  </si>
  <si>
    <t>Valeriy Kyreyev</t>
  </si>
  <si>
    <t>22:41</t>
  </si>
  <si>
    <t>Корупція на корупції корупцією поганяє.</t>
  </si>
  <si>
    <t>Olha Valevska</t>
  </si>
  <si>
    <t>valevska.valevska</t>
  </si>
  <si>
    <t>22:40</t>
  </si>
  <si>
    <t>Усе стабільно. 👍👍 потужні корупціонери.</t>
  </si>
  <si>
    <t>Yevheniia Petrenko</t>
  </si>
  <si>
    <t>Черкаси</t>
  </si>
  <si>
    <t>22:12</t>
  </si>
  <si>
    <t>Майже за 2 млн доларів донька мера Тернополя купила маєток у Маямі
Нова вілла Анастасії Надал знаходиться в одному з найпрестижніших районів Маямі Coral Gables і оформлена на чоловіка Рубена Родрігеса. Офіційних доходів для придбання такої нерухомості в чоловіка не було.
Крім того, Надал придбала апартаменти у Маямі за 380 тисяч доларів також без підтвердження доходів.
У НАБУ раніше відкрили справу, але чомусь про неї всі забули. Чому так?</t>
  </si>
  <si>
    <t>Оксана Яремко-Волошин</t>
  </si>
  <si>
    <t>22:10</t>
  </si>
  <si>
    <t>Совкові гріхи то добре бачите,  спасибі що побачили один з гріхів демократичної України. А якщо врахувати , що це нажито в роки війни та ще таким високим посадовцем, то гріх ціна такій демократії.</t>
  </si>
  <si>
    <t>Пет. Пр</t>
  </si>
  <si>
    <t>22:08</t>
  </si>
  <si>
    <t>Майже за 2 млн доларів донька мера Тернополя купила маєток у Маямі
Нова вілла Анастасії Надал знаходиться в одному з найпрестижніших районів Маямі Coral Gables і оформлена на чоловіка Рубена Родрігеса. Офіційних доходів для придбання такої нерухомості в чоловіка не було.
Крім того, Надал придбала апартаменти у Маямі за 380 тисяч доларів також без підтвердження доходів.
А ми по 50 гривень збираємо на дрони у пенсіонерів та робочого класу . 
Я манікюр роблю раз в 2 місяці з почуттям провини , що ті кошти могли б допомогти тим, хто в окопі , а тут - мільйони ...</t>
  </si>
  <si>
    <t>Yuriivna Anastasia</t>
  </si>
  <si>
    <t>22:06</t>
  </si>
  <si>
    <t>🏡Донька мера Тернополя Сергія Надала придбала віллу майже за 2 млн доларів в престижному районі Маямі Coral Gables
Нерухомість оформлена на її чоловіка Рубена Родрігеса, офіційних доходів для такої покупки у нього не зафіксовано. Крім того, вона купила апартаменти у Маямі за 380 тисяч доларів без підтверджених джерел коштів.
Раніше НАБУ та САП відкривали провадження щодо можливого незаконного збагачення Сергія Надала.</t>
  </si>
  <si>
    <t>Любов Савчук</t>
  </si>
  <si>
    <t>22:00</t>
  </si>
  <si>
    <t>Олександр Курта</t>
  </si>
  <si>
    <t>21:56</t>
  </si>
  <si>
    <t>Надежда Терехова-Павлик Просто якщо вже щось постите , то достовірну інформацію .</t>
  </si>
  <si>
    <t>Анжелика Кифичак</t>
  </si>
  <si>
    <t>Чернівецька область</t>
  </si>
  <si>
    <t>Чернівці</t>
  </si>
  <si>
    <t>21:55</t>
  </si>
  <si>
    <t>Анжелика Кифичак вам кразе знати))</t>
  </si>
  <si>
    <t>21:46</t>
  </si>
  <si>
    <t>Будинок, що на фото коштує набагато дорожче.</t>
  </si>
  <si>
    <t>21:40</t>
  </si>
  <si>
    <t>Донька мера Тернополя купила маєток в Маямі за майже 2 млн доларів.
Вілла Анастасії Надал знаходиться в одному з найпрестижніших районів Маямі Coral Gables і офорлена на чоловіка Рубена Родрігеса. Офіційних доходів для придбання такої нерухомості у чоловіка не було.
Крім того, Надал придбала апартаменти у Маямі за 380 тисяч доларів також без підтвердження доходів.
НАБУ і САП відкрили провадження щодо незаконного збагачення Сергія Надала, але справа чомусь заглохла. Чому?</t>
  </si>
  <si>
    <t>Олег Ліснічук</t>
  </si>
  <si>
    <t>Івано-Франківська область</t>
  </si>
  <si>
    <t>Брошнів-Осада</t>
  </si>
  <si>
    <t>21:37</t>
  </si>
  <si>
    <t>Иван Верболоз</t>
  </si>
  <si>
    <t>21:32</t>
  </si>
  <si>
    <t>Григорий Демченко</t>
  </si>
  <si>
    <t>Кіровоградська область</t>
  </si>
  <si>
    <t>Кропивницький</t>
  </si>
  <si>
    <t>21:18</t>
  </si>
  <si>
    <t>MonaLisa Grönskog</t>
  </si>
  <si>
    <t>intevemsomhelst</t>
  </si>
  <si>
    <t>Спільнота «Суми - найкраще місто у світі»</t>
  </si>
  <si>
    <t>Швеція</t>
  </si>
  <si>
    <t>Вестерноррланд</t>
  </si>
  <si>
    <t>Хернёсанд</t>
  </si>
  <si>
    <t>21:03</t>
  </si>
  <si>
    <t>Tanja En</t>
  </si>
  <si>
    <t>20:52</t>
  </si>
  <si>
    <t>Зображення</t>
  </si>
  <si>
    <t>Марія Свягла</t>
  </si>
  <si>
    <t>Svitlana Klymovych</t>
  </si>
  <si>
    <t>Невизначена</t>
  </si>
  <si>
    <t>Івано-Франківськ</t>
  </si>
  <si>
    <t>20:41</t>
  </si>
  <si>
    <t>Василь Джердж</t>
  </si>
  <si>
    <t>Франція</t>
  </si>
  <si>
    <t>Іль-де-Франс</t>
  </si>
  <si>
    <t>Beauchamp</t>
  </si>
  <si>
    <t>20:37</t>
  </si>
  <si>
    <t>Добре натягнув</t>
  </si>
  <si>
    <t>Olga Kiesow</t>
  </si>
  <si>
    <t>Володимир Рипецький</t>
  </si>
  <si>
    <t>Німеччина</t>
  </si>
  <si>
    <t>Берлін</t>
  </si>
  <si>
    <t>20:28</t>
  </si>
  <si>
    <t>Mariana Mazur вибачте,але не "смішіть" ... чомусь всі діти і дружини високопосадовців виявляються "геніями" бізнесу.
І о "чудо",якраз за каденції їх чоловіків чи батьків.</t>
  </si>
  <si>
    <t>Antonio Balderas</t>
  </si>
  <si>
    <t>20:15</t>
  </si>
  <si>
    <t>Хтоб сомнівався</t>
  </si>
  <si>
    <t>Светлана Король</t>
  </si>
  <si>
    <t>Валентин Скакун</t>
  </si>
  <si>
    <t>Ватутіне</t>
  </si>
  <si>
    <t>20:03</t>
  </si>
  <si>
    <t>Ого-го 😎😎😎</t>
  </si>
  <si>
    <t>Olha Vorobyova</t>
  </si>
  <si>
    <t>19:59</t>
  </si>
  <si>
    <t>Naki Tompson такі заяви може робити людина у якій є фото реальні обличчя;)</t>
  </si>
  <si>
    <t>Roman Boiko</t>
  </si>
  <si>
    <t>roman.boyko.750</t>
  </si>
  <si>
    <t>19:58</t>
  </si>
  <si>
    <t>Треба більше донатити, не зупинятися, ще багато мерів не мають від у Майамі</t>
  </si>
  <si>
    <t>Леся Українка</t>
  </si>
  <si>
    <t>19:53</t>
  </si>
  <si>
    <t>Lusha Olmskl</t>
  </si>
  <si>
    <t>Париж</t>
  </si>
  <si>
    <t>19:39</t>
  </si>
  <si>
    <t>Mariana Mazur ви вже заробили свої перші 2 мільйони теж ?</t>
  </si>
  <si>
    <t>Наталія Наталія</t>
  </si>
  <si>
    <t>19:37</t>
  </si>
  <si>
    <t>Antonio Balderas як варіант, або чоловіком.
Але я розумію, що в вашій бульбашці це щось фантастичне😁</t>
  </si>
  <si>
    <t>Mariana Mazur</t>
  </si>
  <si>
    <t>mariana.mazur.96</t>
  </si>
  <si>
    <t>19:32</t>
  </si>
  <si>
    <t>І ви  надієтесь на закінчення війни?
Анастасія Надал, донька міського голови Тернополя Сергія Надала, придбала елітну нерухомість у США – віллу в Маямі, вартістю близько 2 млн доларів. 
Про це повідомляє «Викривач».
Формально об’єкт зареєстрований на її чоловіка Рубена Родрігеса, однак у відкритих джерелах відсутня інформація про доходи, які могли б пояснити таку покупку.
#новини #тернопіль #мер #maiami #нерухомість
https://www.instagram.com/p/DVRc6UTCIe3/?igsh=MWozb3dqYWJxcHE2cQ%3D%3D</t>
  </si>
  <si>
    <t>Nataliya Kurchyk</t>
  </si>
  <si>
    <t>19:31</t>
  </si>
  <si>
    <t>Донька мера Тернополя Сергія Надала придбала віллу майже за 2 млн доларів в престижному районі Маямі Coral Gables. 
Нерухомість оформлена на її чоловіка Рубена Родрігеса, офіційних доходів для такої покупки у нього не зафіксовано. Крім того, вона купила апартаменти у Маямі за 380 тисяч доларів без підтверджених джерел коштів.
Раніше НАБУ та САП відкривали провадження щодо можливого незаконного збагачення Сергія Надала.
@ukraine_dniprocity
https://www.instagram.com/p/DVWWGcHDPdC/?igsh=MWkwNnZ5b3F3ZzFuaQ%3D%3D</t>
  </si>
  <si>
    <t>Татьяна Дикая</t>
  </si>
  <si>
    <t>Дніпропетровська область</t>
  </si>
  <si>
    <t>Дніпро</t>
  </si>
  <si>
    <t>19:29</t>
  </si>
  <si>
    <t>Вілла в Маямі за 2 мільйони доларів. Донька мера Тернополя Сергія Надала оселилася в  США під час війни</t>
  </si>
  <si>
    <t>Tania Lokazyuk</t>
  </si>
  <si>
    <t>Італія</t>
  </si>
  <si>
    <t>Лаціо</t>
  </si>
  <si>
    <t>Рим</t>
  </si>
  <si>
    <t>19:26</t>
  </si>
  <si>
    <t>Це ж жах як обкрадають Україну і Українців ??? Ось чому такі ніщенськи пенсії в основної маси пенсіонерів. Ось чому ростуть ціни на послуги.</t>
  </si>
  <si>
    <t>Ekaterina Dzyombak-Ilenko</t>
  </si>
  <si>
    <t>19:12</t>
  </si>
  <si>
    <t>Ми усі радіємо, що так непогано живуть українці! Це ПЕРЕМОГА!
Донька мера Тернополя купила маєток в Маямі за майже 2 млн доларів.
Вілла Анастасії Надал знаходиться в одному з найпрестижніших районів Маямі Coral Gables і офорлена на чоловіка Рубена Родрігеса. Офіційних доходів для придбання такої нерухомості у чоловіка не було.
Крім того, Надал придбала апартаменти у Маямі за 380 тисяч доларів також без підтвердження доходів.
НАБУ і САП відкрили провадження щодо незаконного збагачення Сергія Надала…</t>
  </si>
  <si>
    <t>Yuriy Hrynyuk</t>
  </si>
  <si>
    <t>yuriy.hrynyuk.5</t>
  </si>
  <si>
    <t>19:11</t>
  </si>
  <si>
    <t>Борислава Білоцерківська не там ходить))</t>
  </si>
  <si>
    <t>Юля Чернієнко</t>
  </si>
  <si>
    <t>19:10</t>
  </si>
  <si>
    <t>Донька мера Тернополя купила маєток в Маямі за майже 2 млн доларів.
Вілла Анастасії Надал знаходиться в одному з найпрестижніших районів Маямі Coral Gables і офорлена на чоловіка Рубена Родрігеса. Офіційних доходів для придбання такої нерухомості у чоловіка не було.
Крім того, Надал придбала апартаменти у Маямі за 380 тисяч доларів також без підтвердження доходів.
НАБУ і САП відкрили провадження щодо незаконного збагачення Сергія Надала…</t>
  </si>
  <si>
    <t>Dariya Kon</t>
  </si>
  <si>
    <t>Чехія</t>
  </si>
  <si>
    <t>Северо-Запад</t>
  </si>
  <si>
    <t>Карлові Вари</t>
  </si>
  <si>
    <t>19:04</t>
  </si>
  <si>
    <t>Супер, а в селі не хоче мати?</t>
  </si>
  <si>
    <t>Uliana Lesiv-Mileykovskaya</t>
  </si>
  <si>
    <t>Бурштин Типовий</t>
  </si>
  <si>
    <t>18:59</t>
  </si>
  <si>
    <t>Алла Виборна</t>
  </si>
  <si>
    <t>Волинська область</t>
  </si>
  <si>
    <t>Ковель</t>
  </si>
  <si>
    <t>18:55</t>
  </si>
  <si>
    <t>Mariana Mazur Все зароблено нею "непосильною" працею ...)))</t>
  </si>
  <si>
    <t>18:52</t>
  </si>
  <si>
    <t>Андрій Атаманюк</t>
  </si>
  <si>
    <t>18:46</t>
  </si>
  <si>
    <t>Светлана Якобчук ВСІ  ОЛІГАРХИ  ПОКУПЛЯЛИ.І СОБІ  І ДІТЯМ  .</t>
  </si>
  <si>
    <t>Лідія Варава</t>
  </si>
  <si>
    <t>18:22</t>
  </si>
  <si>
    <t>Анастасія Надал — дочка мера Тернополя Сергія Надала — стала власницею розкішної вілли в одному з найпрестижніших районів Майамі Coral Gables вартістю майже 2 млн доларів, оформленої на її чоловіка Рубена Родрігеса, у якого не зафіксовано офіційних доходів, що дозволили б придбати такий об'єкт, — а кримінальне провадження НАБУ та САП щодо цих покупок фактично зникло з публічного поля.
https://t.co/ObdN4MA3xC
«Американська мрія» за мільйони: як донька мера Тернополя Надала оселилася на елітній віллі в Майамі
Анастасія Надал — дочка мера Тернополя Сергія Надала — стала власницею розкішної вілли в одному з найпрестижніших районів Майамі Coral Gables вартістю майже 2 млн доларів, оформленої на її чоловіка...</t>
  </si>
  <si>
    <t>Наташа Дубровская</t>
  </si>
  <si>
    <t>dubrovskaya_m</t>
  </si>
  <si>
    <t>twitter.com</t>
  </si>
  <si>
    <t>18:17</t>
  </si>
  <si>
    <t>🏡Донька мера Тернополя Сергія Надала придбала віллу майже за 2 млн доларів в престижному районі Маямі Coral Gables Нерухомість оформлена на її чоловіка Рубена Родрігеса, офіційних доходів для такої покупки у нього не зафіксовано. Крім того, вона купила апартаменти у Маямі за 380 тисяч доларів без підтверджених джерел коштів. Раніше НАБУ та САП відкривали провадження щодо можливого незаконного збагачення Сергія Надала.</t>
  </si>
  <si>
    <t>Зображення,Альбоми,Текст</t>
  </si>
  <si>
    <t>Просто Вісті</t>
  </si>
  <si>
    <t>prostovisti</t>
  </si>
  <si>
    <t>tiktok.com</t>
  </si>
  <si>
    <t>18:09</t>
  </si>
  <si>
    <t>Анатолий Поляновский</t>
  </si>
  <si>
    <t>18:06</t>
  </si>
  <si>
    <t>Наташа Карібаєва Забагато їй честі. Хай іде людям городи копає навесні.</t>
  </si>
  <si>
    <t>Олександр Кравченко</t>
  </si>
  <si>
    <t>Калуш БЕЗ ЦЕНЗУРИ!!!</t>
  </si>
  <si>
    <t>18:04</t>
  </si>
  <si>
    <t>Ні совісті, ні честі. Скоро слово "мер" стане синонімом "казнокрад".</t>
  </si>
  <si>
    <t>17:59</t>
  </si>
  <si>
    <t>Відрубав би  руки...</t>
  </si>
  <si>
    <t>Любов Бойко-Хоміцька</t>
  </si>
  <si>
    <t>Червоноград</t>
  </si>
  <si>
    <t>17:52</t>
  </si>
  <si>
    <t>Де вона заробила, і я хочу купити</t>
  </si>
  <si>
    <t>Инна Шевченко</t>
  </si>
  <si>
    <t>Суми</t>
  </si>
  <si>
    <t>17:48</t>
  </si>
  <si>
    <t>Де ж вона така бідна на зарплаті взяла такі гроші?- напевно- кредит?</t>
  </si>
  <si>
    <t>Людмила Занько</t>
  </si>
  <si>
    <t>Житомирська область</t>
  </si>
  <si>
    <t>Житомир</t>
  </si>
  <si>
    <t>17:47</t>
  </si>
  <si>
    <t>ЯКШО ТО ПРАВДА,СКАЖІТЬ ШО БИ СТАЛІН ЗРОБИВ З ТАКОЮ ЧИ ПОДІБНОЮ СИТУАЦІЄЮ?</t>
  </si>
  <si>
    <t>Ігор Маліцкий</t>
  </si>
  <si>
    <t>Тернопільська область</t>
  </si>
  <si>
    <t>Теребовля</t>
  </si>
  <si>
    <t>17:43</t>
  </si>
  <si>
    <t>Заробила чим багатіють на крові</t>
  </si>
  <si>
    <t>Нина Ткаченко</t>
  </si>
  <si>
    <t>17:36</t>
  </si>
  <si>
    <t>Vasyl Garmych</t>
  </si>
  <si>
    <t>vasyl.garmych.7</t>
  </si>
  <si>
    <t>Малопольське воєводство</t>
  </si>
  <si>
    <t>Sierockie</t>
  </si>
  <si>
    <t>17:26</t>
  </si>
  <si>
    <t>Працювала, заробила</t>
  </si>
  <si>
    <t>анна малігон</t>
  </si>
  <si>
    <t>anna.malihon</t>
  </si>
  <si>
    <t>17:21</t>
  </si>
  <si>
    <t>Думаєте, що батько вкрав ?
Інших варіантів отримання коштів не розглядаєте?</t>
  </si>
  <si>
    <t>17:20</t>
  </si>
  <si>
    <t>Ludmyla Kujawa А хто що мав бачити  Тернополяни вдочирили собі дочку купили її маеток які проблеми</t>
  </si>
  <si>
    <t>Дмитро Чикановський</t>
  </si>
  <si>
    <t>cikanovskij</t>
  </si>
  <si>
    <t>17:19</t>
  </si>
  <si>
    <t>Суки</t>
  </si>
  <si>
    <t>Надія Чешко</t>
  </si>
  <si>
    <t>17:18</t>
  </si>
  <si>
    <t>Оля Адаменко І так з усіма.</t>
  </si>
  <si>
    <t>Наташа Карібаєва</t>
  </si>
  <si>
    <t>Може вона здає квартири переселенцям 😂</t>
  </si>
  <si>
    <t>Alyona  Dovgan</t>
  </si>
  <si>
    <t>alyona.dovgan</t>
  </si>
  <si>
    <t>17:12</t>
  </si>
  <si>
    <t>Заробляють на чужій крові...Простий народ гине,а вони жирують...🥲🥲🥲Але воно ще аукнеться...</t>
  </si>
  <si>
    <t>Алла Куляміна</t>
  </si>
  <si>
    <t>Донька мера Тернополя купила маєток в Маямі за майже 2 млн доларів.
Вілла Анастасії Надал знаходиться в одному з найпрестижніших районів Маямі Coral Gables і офорлена на чоловіка Рубена Родрігеса. Офіційних доходів для придбання такої нерухомості у чоловіка не було.
Крім того, Надал придбала апартаменти у Маямі за 380 тисяч доларів також без підтвердження доходів.
НАБУ і САП навіть відкрили провадження щодо незаконного збагачення Сергія Надала, але справа чомусь заглохла. Можливо, Семен Кривонос знає чому?</t>
  </si>
  <si>
    <t>Текст,Зображення,Альбоми</t>
  </si>
  <si>
    <t>Хунта info</t>
  </si>
  <si>
    <t>khunta_info</t>
  </si>
  <si>
    <t>Спільнота</t>
  </si>
  <si>
    <t>telegram.me</t>
  </si>
  <si>
    <t>Месенджери</t>
  </si>
  <si>
    <t>17:10</t>
  </si>
  <si>
    <t>Наташа Карібаєва 👍</t>
  </si>
  <si>
    <t>Оля Адаменко</t>
  </si>
  <si>
    <t>Ця гнида є члЄном " свАбоди "? А що ж це" патріотичні націоналісти " ще вишиванки на грудЯх не порвали,захищаючи мера.?</t>
  </si>
  <si>
    <t>Lyudmyla Tyshkova</t>
  </si>
  <si>
    <t>17:08</t>
  </si>
  <si>
    <t>Вілла в Маямі за 2 мільйони доларів. Донька мера Тернополя Сергія Надала оселилася в США під час війни</t>
  </si>
  <si>
    <t>Подуріли!!!</t>
  </si>
  <si>
    <t>Надія Фокій</t>
  </si>
  <si>
    <t>Sofia Guralenko-Mikhailyuk</t>
  </si>
  <si>
    <t>17:06</t>
  </si>
  <si>
    <t>Жируємо на крові ??? Зеленський ,не можиж зупинить цю банду ? А що можеш? Узаконить ? Людолови є ,корупція розцвітає !!! Когось посадив? Всі залишились у владі !</t>
  </si>
  <si>
    <t>Татьяна Завгородняя</t>
  </si>
  <si>
    <t>Олександрія</t>
  </si>
  <si>
    <t>17:04</t>
  </si>
  <si>
    <t>Зразу відкривайте кримінальну справу,довічно з конфіскацією, суки,немає слів 🙏🙈</t>
  </si>
  <si>
    <t>Nadiya Onykiyenko</t>
  </si>
  <si>
    <t>nadiya.onykiyenko.5</t>
  </si>
  <si>
    <t>Емілія-Романья</t>
  </si>
  <si>
    <t>Карпі</t>
  </si>
  <si>
    <t>16:58</t>
  </si>
  <si>
    <t>О нормально а я сидітиму в окопі холодному 🤫</t>
  </si>
  <si>
    <t>Mikhal Glushko</t>
  </si>
  <si>
    <t>Рівненська область</t>
  </si>
  <si>
    <t>Млинів</t>
  </si>
  <si>
    <t>16:49</t>
  </si>
  <si>
    <t>Ludmila</t>
  </si>
  <si>
    <t>ludmila1348</t>
  </si>
  <si>
    <t>16:48</t>
  </si>
  <si>
    <t>Доньку вибатб папу повісить.</t>
  </si>
  <si>
    <t>16:46</t>
  </si>
  <si>
    <t>Ірина Якимів В кожні партії є свої пройдисвіти .</t>
  </si>
  <si>
    <t>Богдан Шимоняк</t>
  </si>
  <si>
    <t>16:43</t>
  </si>
  <si>
    <t>Ксения Ксения каландайк.</t>
  </si>
  <si>
    <t>Наталія Дудниченко</t>
  </si>
  <si>
    <t>Одеська область</t>
  </si>
  <si>
    <t>Овідіополь</t>
  </si>
  <si>
    <t>16:42</t>
  </si>
  <si>
    <t>Олександр Лупейко тільки страшно, що під розстрів підуть прості-невині люди.Придумають якісь.схеми і вони нідочого. БОЛЬШИЕ КОМБИНАТОРЫ.</t>
  </si>
  <si>
    <t>16:41</t>
  </si>
  <si>
    <t>Коли ж вони падлюки нажруться.</t>
  </si>
  <si>
    <t>Юлія Булатецька</t>
  </si>
  <si>
    <t>Баварія</t>
  </si>
  <si>
    <t>Бамберг</t>
  </si>
  <si>
    <t>16:40</t>
  </si>
  <si>
    <t>?????????????</t>
  </si>
  <si>
    <t>Denial Dan</t>
  </si>
  <si>
    <t>vatnf</t>
  </si>
  <si>
    <t>16:38</t>
  </si>
  <si>
    <t>Лише китайський варянт врятує Україну, стріляти і за кулю десять мільйонів доларів прислати родині рахунок</t>
  </si>
  <si>
    <t>Galina Karwat</t>
  </si>
  <si>
    <t>galina.karwat</t>
  </si>
  <si>
    <t>Mariya Bondarenko  я то і мала на увазі , що крадуть чинуші, як в останній раз ... Запитати в них потрібно - звідки гроші "ЗІНА" ? Це питання потрібно всім чиновникам задавати і провірити їх рахунки ...</t>
  </si>
  <si>
    <t>Inna</t>
  </si>
  <si>
    <t>16:36</t>
  </si>
  <si>
    <t>Армія в нищиті солдати без належної зброї а ці паразити жирують на повну</t>
  </si>
  <si>
    <t>Альона</t>
  </si>
  <si>
    <t>Поділився. 😅</t>
  </si>
  <si>
    <t>Людмила Костенко</t>
  </si>
  <si>
    <t>Київська область</t>
  </si>
  <si>
    <t>Миронівка</t>
  </si>
  <si>
    <t>Tania Osipova а що неправда? Що не подобається?</t>
  </si>
  <si>
    <t>Mariya Bondarenko</t>
  </si>
  <si>
    <t>16:35</t>
  </si>
  <si>
    <t>У нас все глохне.</t>
  </si>
  <si>
    <t>Галина Стасюк</t>
  </si>
  <si>
    <t>Вижниця</t>
  </si>
  <si>
    <t>16:34</t>
  </si>
  <si>
    <t>Ще одні спритники…</t>
  </si>
  <si>
    <t>Оксана Кравчук</t>
  </si>
  <si>
    <t>Олександр Лупейко,не зараз. Засудять кого треба, а не хто винен.</t>
  </si>
  <si>
    <t>Ігор Гомілко</t>
  </si>
  <si>
    <t>gomilkoigor</t>
  </si>
  <si>
    <t>Чортків</t>
  </si>
  <si>
    <t>Helena Tangel</t>
  </si>
  <si>
    <t>Заробила, тяжко працювала.</t>
  </si>
  <si>
    <t>Наталія Сідей-Бляшин</t>
  </si>
  <si>
    <t>16:33</t>
  </si>
  <si>
    <t>Лишається тільки похвалити і привітати цих поважних людей.</t>
  </si>
  <si>
    <t>Андрій Урсулян</t>
  </si>
  <si>
    <t>Говорив, говорю і буду говорити - лише введення смертної кари наведе порядок.</t>
  </si>
  <si>
    <t>Олександр Лупейко</t>
  </si>
  <si>
    <t>Inna як всі купують? чинуша зелена злодійська сидить і краде в держави, а нажите вкладає в нерухомість.</t>
  </si>
  <si>
    <t>...і там також бомблять</t>
  </si>
  <si>
    <t>Oksy Stejskalova</t>
  </si>
  <si>
    <t>Центральная Моравия</t>
  </si>
  <si>
    <t>Простейов</t>
  </si>
  <si>
    <t>16:32</t>
  </si>
  <si>
    <t>Едуард Курінний</t>
  </si>
  <si>
    <t>kurinniieduard</t>
  </si>
  <si>
    <t>Донецька область</t>
  </si>
  <si>
    <t>Краматорськ</t>
  </si>
  <si>
    <t>16:31</t>
  </si>
  <si>
    <t>Як вам живеться падли ви такі. Хіба в мера така зарплата що він купив собі апартаменти? За крадені гроші в людей.</t>
  </si>
  <si>
    <t>Balanenko Anna</t>
  </si>
  <si>
    <t>Светлана Васильеваа  вам хто не дає красти? Совість чи не встигли ?</t>
  </si>
  <si>
    <t>Любов Калитчук</t>
  </si>
  <si>
    <t>Снятин</t>
  </si>
  <si>
    <t>Татьяна Нечепоренко</t>
  </si>
  <si>
    <t>16:28</t>
  </si>
  <si>
    <t>Всі продажні чинуші і їх діти "ПАТРІОТИ" купують за кордоном нерухомості , а тут заробіток . За кордоном вони такі гроші не заробили б .</t>
  </si>
  <si>
    <t>Та нічого,бомблять зараз всюди</t>
  </si>
  <si>
    <t>Valentina Sova</t>
  </si>
  <si>
    <t>balentina.sova</t>
  </si>
  <si>
    <t>Давайте тако ,самий кращий мер Тернополя.🤣🤣🤣 Та нiуя йому не забить</t>
  </si>
  <si>
    <t>Оксана Нога</t>
  </si>
  <si>
    <t>16:27</t>
  </si>
  <si>
    <t>Богдан Шимоняк От чого ви ту зелень всюди пхаєте? Мер Тернополя-від партіі "Свобода" Може,власне,та зелень і замутила перевірку</t>
  </si>
  <si>
    <t>Ірина Якимів</t>
  </si>
  <si>
    <t>А що,нема за що</t>
  </si>
  <si>
    <t>Вита Синибок</t>
  </si>
  <si>
    <t>Мала Виска</t>
  </si>
  <si>
    <t>16:26</t>
  </si>
  <si>
    <t>Хай шурує</t>
  </si>
  <si>
    <t>Людмила Калита</t>
  </si>
  <si>
    <t>Эльмира Кулиева</t>
  </si>
  <si>
    <t>От сволота</t>
  </si>
  <si>
    <t>Ольга Баранивська</t>
  </si>
  <si>
    <t>ПРИЙДЕ КІНЕЦЬ ТОМУ ВСЬОМУ</t>
  </si>
  <si>
    <t>Василь Гайналій</t>
  </si>
  <si>
    <t>Держава для того і створюється щоб драти та оббирати країну,браво!</t>
  </si>
  <si>
    <t>Олександр М.осковченко</t>
  </si>
  <si>
    <t>16:25</t>
  </si>
  <si>
    <t>Iryna Huba</t>
  </si>
  <si>
    <t>Arinka118</t>
  </si>
  <si>
    <t>Бориспіль</t>
  </si>
  <si>
    <t>Tomas Rek</t>
  </si>
  <si>
    <t>То гарно на війні заробив,там того Тернополя як ,,велике село,,а гуманітарки скільки на продаж пішло,краде все що є</t>
  </si>
  <si>
    <t>Ксения Ксения</t>
  </si>
  <si>
    <t>Миколаївська область</t>
  </si>
  <si>
    <t>Миколаїв</t>
  </si>
  <si>
    <t>16:24</t>
  </si>
  <si>
    <t>Свобода скоро один штат в США викупить!!!😂</t>
  </si>
  <si>
    <t>Н. Сергій</t>
  </si>
  <si>
    <t>Дмитро Чикановський і ніхто нічого не бачив.Все було добре і вдруг маєток виліз.</t>
  </si>
  <si>
    <t>Ludmyla Kujawa</t>
  </si>
  <si>
    <t>А хтоб сумнівався.Їх діти мають жити добре.А простяча  нехай виживає.</t>
  </si>
  <si>
    <t>Ганна Мікулін</t>
  </si>
  <si>
    <t>Закарпатська область</t>
  </si>
  <si>
    <t>Хуст</t>
  </si>
  <si>
    <t>Для чого розповсюджувати фейкову інформацію зі сторінок-сміттярок?...</t>
  </si>
  <si>
    <t>Tania Osipova</t>
  </si>
  <si>
    <t>tania.osipova.5</t>
  </si>
  <si>
    <t>16:23</t>
  </si>
  <si>
    <t>Ludmyla Kujawa а шо ну ну</t>
  </si>
  <si>
    <t>Андрій Козяр</t>
  </si>
  <si>
    <t>Городенка</t>
  </si>
  <si>
    <t>Lessja Leffin доки у них,,до пори часу,, а нам ой,ой біда.</t>
  </si>
  <si>
    <t>НЕХУЙОВИЙ АПЕТИТ У ДОНЬКИ НА 2 МІЛЛІОНА ДОЛАРІВ.</t>
  </si>
  <si>
    <t>Дмитро Тищенко</t>
  </si>
  <si>
    <t>mitka2o2o</t>
  </si>
  <si>
    <t>Одеса</t>
  </si>
  <si>
    <t>16:22</t>
  </si>
  <si>
    <t>І що ? Хтось не знає як живе влада в Україні ? Кріпаки побубнять у фб день - два , а потім далі будуть гризтися між собою за мову</t>
  </si>
  <si>
    <t>Sasha Skorodinskiy</t>
  </si>
  <si>
    <t>16:21</t>
  </si>
  <si>
    <t>Андрій Козяр ну,ну .</t>
  </si>
  <si>
    <t>Так біомасі значить так подобається</t>
  </si>
  <si>
    <t>Микола Тринога</t>
  </si>
  <si>
    <t>Справжнiй украiнець,сука.</t>
  </si>
  <si>
    <t>Коля- Коля</t>
  </si>
  <si>
    <t>16:20</t>
  </si>
  <si>
    <t>Валентина Копица</t>
  </si>
  <si>
    <t>Ото наколядував  добряче.</t>
  </si>
  <si>
    <t>Виктория Келдыш</t>
  </si>
  <si>
    <t>Владимир Люкин усе говорите правильно,но хто це зробить?Треба починати з гори і аж до голів міськ рад,конфіскація і тюрми!!!</t>
  </si>
  <si>
    <t>Ольга Кішка</t>
  </si>
  <si>
    <t>16:19</t>
  </si>
  <si>
    <t>Який там відсоток віддала тернопільщина зеленим на виборах?</t>
  </si>
  <si>
    <t>Володимир Тарковський</t>
  </si>
  <si>
    <t>Бердичів</t>
  </si>
  <si>
    <t>Може , в мера зарплатня мільон гривень на місяць . Посидів на мівіні два роки , і прикупив доньці дачу!</t>
  </si>
  <si>
    <t>Oleksandr Hluschenko</t>
  </si>
  <si>
    <t>16:17</t>
  </si>
  <si>
    <t>щоб всі мерипо виздихали як динозаври</t>
  </si>
  <si>
    <t>Света Брикса</t>
  </si>
  <si>
    <t>16:16</t>
  </si>
  <si>
    <t>Ольга Сачко</t>
  </si>
  <si>
    <t>16:15</t>
  </si>
  <si>
    <t>Таких подонків треба наздоганяти і кінчати , в упор!!! Цей «металург» втратив право на подальше буття..,- справа честі «поставити крапку » на лобі!!! Кому таке суспільство рабів і вельмож потрібне..  , це за таке гинуть хлопці..?!!!</t>
  </si>
  <si>
    <t>Ustas Solo</t>
  </si>
  <si>
    <t>Олег Тропак</t>
  </si>
  <si>
    <t>otropac</t>
  </si>
  <si>
    <t>Борислав</t>
  </si>
  <si>
    <t>16:14</t>
  </si>
  <si>
    <t>За сраку того мера ніхто не хоче взяти?  Вже готовий...</t>
  </si>
  <si>
    <t>Людмила Вознюк</t>
  </si>
  <si>
    <t>Скільки років грабують нашу України і ніяк не наїдяться.Скотиняки</t>
  </si>
  <si>
    <t>Lesya Mayer</t>
  </si>
  <si>
    <t>16:13</t>
  </si>
  <si>
    <t>Як обороняють нашу країну олігархи.Яке може бути закінчення війни.Хтось життя віддає ,хтось жирує.Звітки у тої кралі такі гроші.</t>
  </si>
  <si>
    <t>Аня Симканич</t>
  </si>
  <si>
    <t>Таня Джус</t>
  </si>
  <si>
    <t>Хмельницька область</t>
  </si>
  <si>
    <t>Нетішин</t>
  </si>
  <si>
    <t>Заборонити чиновникам і їхнім сім'ям виїз за кордон, взагалі.У нас кожна верхушка лайно і злодій</t>
  </si>
  <si>
    <t>Андрій Андрій</t>
  </si>
  <si>
    <t>Любов Калитчук ви пані з того самого злодійського кубла. Видать поблизу прикупила.</t>
  </si>
  <si>
    <t>Богданна Бохонко</t>
  </si>
  <si>
    <t>16:12</t>
  </si>
  <si>
    <t>"Боротьба" з корупцією набирає обертів.) Уся та наволоч в Україні "на полюванні", а статки виводять за кордон .</t>
  </si>
  <si>
    <t>Игорь Михеев</t>
  </si>
  <si>
    <t>Гранату у вікно</t>
  </si>
  <si>
    <t>Yvdokiya Korenchuk</t>
  </si>
  <si>
    <t>16:11</t>
  </si>
  <si>
    <t>Скільки гектарів землі продав</t>
  </si>
  <si>
    <t>І це всього навсього Тернопіль. Страшно уявляти масштаби</t>
  </si>
  <si>
    <t>Natali Paselska</t>
  </si>
  <si>
    <t>natali.paselska</t>
  </si>
  <si>
    <t>16:09</t>
  </si>
  <si>
    <t>В нас війна А для них  нажитися на крові людейІ головне , що і його ніхто не посадить Доця буде жити в Маямі Правда вони одного не розуміють Що Божий палець є для всіхІ відповідати буде 7 покоління</t>
  </si>
  <si>
    <t>Мирослава Маркула</t>
  </si>
  <si>
    <t>Меланія Стулипельку</t>
  </si>
  <si>
    <t>Знову злодій при кориті, Україна має увести смертну кару для корупціонерів і крадіїв а також для членів всієї родини….</t>
  </si>
  <si>
    <t>Mykhaylo Vasylyuk</t>
  </si>
  <si>
    <t>Бремен</t>
  </si>
  <si>
    <t>16:08</t>
  </si>
  <si>
    <t>ЗОЛОТИЙ ВІК ДЛЯ СУК І СЛУГ   НАРОДУ. АЛЕ ВОНИ І ВІН НЕ ВИНЕН73%. ВИНЕН ПОРОШЕНКО.</t>
  </si>
  <si>
    <t>16:07</t>
  </si>
  <si>
    <t>Анатолій Марчук</t>
  </si>
  <si>
    <t>16:06</t>
  </si>
  <si>
    <t>Над  тими  злодюгами,  що заробляють  на крові,  сльозах не винних людей, яких вбила  та вбиває русьня,  тай внутрішні вороги,  БУДУТЬ ЛІТАТИ ТА ДОВБАТИ ЇХНЄ ТІЛО ВОРОНИ- СМЕРТНИКИ. БУМЕРАНГ НІХТО НЕ ВІДМІНИТЬ,  ВІН ЇХ ТА ЇХНЄ ДЕСЯТЕ ПОКОЛІННЯ ЗНАЙДЕ. АМІНЬ.  БУДЕ ТАК.</t>
  </si>
  <si>
    <t>Мария Ткачук</t>
  </si>
  <si>
    <t>Ломбардія</t>
  </si>
  <si>
    <t>Sesto San Giovanni</t>
  </si>
  <si>
    <t>Хай сосуть хуй вони і зсу</t>
  </si>
  <si>
    <t>16:05</t>
  </si>
  <si>
    <t>Тетяна Шафета до пори часу</t>
  </si>
  <si>
    <t>Lessja Leffin</t>
  </si>
  <si>
    <t>Bernau am Chiemsee</t>
  </si>
  <si>
    <t>16:04</t>
  </si>
  <si>
    <t>Правильно,а до пенціонерів кожен день,здайти на ЗСУ,хлопцям на квадроцикл га машину,бо не має чим відвести поранених,ми здаємо,бо там багато наших дітей,а вони не паряться своїх вивезли за границю,купили маєтки і живуть,їм все до лампочки,нехай чиїсь діти гинуть.</t>
  </si>
  <si>
    <t>Марія Мельник</t>
  </si>
  <si>
    <t>16:03</t>
  </si>
  <si>
    <t>Самі обрали такого. Радійте</t>
  </si>
  <si>
    <t>Liudmyla Suprunovska</t>
  </si>
  <si>
    <t>liudmyla.suprunovska</t>
  </si>
  <si>
    <t>Бретань</t>
  </si>
  <si>
    <t>Сен-Бриё</t>
  </si>
  <si>
    <t>Lessja Leffin ще й як буде!</t>
  </si>
  <si>
    <t>Тетяна Шафета</t>
  </si>
  <si>
    <t>Зелена</t>
  </si>
  <si>
    <t>16:02</t>
  </si>
  <si>
    <t>Оберіть його ще раз</t>
  </si>
  <si>
    <t>Леся Вавринів</t>
  </si>
  <si>
    <t>16:00</t>
  </si>
  <si>
    <t>На чужому горі щастя не буде</t>
  </si>
  <si>
    <t>Любов Калитчук приємно,красти? Жити за рахунок інших? Паразитувати,як глисту?</t>
  </si>
  <si>
    <t>Светлана Васильева</t>
  </si>
  <si>
    <t>Чернігівська область</t>
  </si>
  <si>
    <t>Чернігів</t>
  </si>
  <si>
    <t>15:58</t>
  </si>
  <si>
    <t>Ярослав Віфлінзідер що ви пишете,хапузі.Воно таке ж саме,живе і паразитує за рахунок інших.</t>
  </si>
  <si>
    <t>15:57</t>
  </si>
  <si>
    <t>Любов Калитчук ворюзі? Заздрити? Мабуть маєш хворе уявлення.</t>
  </si>
  <si>
    <t>Хочеться надіятися що все піде прахом. Багаті також плачуть.</t>
  </si>
  <si>
    <t>Малишко Галина</t>
  </si>
  <si>
    <t>Тернопіль</t>
  </si>
  <si>
    <t>Палка має два кінці</t>
  </si>
  <si>
    <t>Сергій Лотоцький</t>
  </si>
  <si>
    <t>15:55</t>
  </si>
  <si>
    <t>Це Тернополяни купили маеток своїй доньці</t>
  </si>
  <si>
    <t>15:53</t>
  </si>
  <si>
    <t>А Україна така бідна...</t>
  </si>
  <si>
    <t>Василь Панасенко</t>
  </si>
  <si>
    <t>svitlana.klymovich</t>
  </si>
  <si>
    <t>15:52</t>
  </si>
  <si>
    <t>Жах..купила і там проживає,то ще які докази потрібно?
Де взяла такі ШиШі?</t>
  </si>
  <si>
    <t>Stefaniya Vasylchyshyn</t>
  </si>
  <si>
    <t>stefaniya.vasylchyshyn.1</t>
  </si>
  <si>
    <t>Підливаєте масла в вогонь сиплете сіль на рани батьків, діти якіх загинули за це бидло,яке жирує так робіть щось,щоб іншим не було бажання обкрадати людей ,дітей і Україну</t>
  </si>
  <si>
    <t>Іванна Живун</t>
  </si>
  <si>
    <t>15:51</t>
  </si>
  <si>
    <t>Нормально ми вже до того привели.</t>
  </si>
  <si>
    <t>Сергій Карапота</t>
  </si>
  <si>
    <t>15:50</t>
  </si>
  <si>
    <t>Жінка приїхала з заробітків,той купила собі</t>
  </si>
  <si>
    <t>Марія Романчук</t>
  </si>
  <si>
    <t>15:49</t>
  </si>
  <si>
    <t>То нахуй такого мера тримати.Заграти надовічно і все вилучити.</t>
  </si>
  <si>
    <t>Владимир Люкин</t>
  </si>
  <si>
    <t>Коростишів</t>
  </si>
  <si>
    <t>15:48</t>
  </si>
  <si>
    <t>Макс Кузьменко</t>
  </si>
  <si>
    <t>Оксана Пшик  ГАНЬБА (UA) / позор (RUS).</t>
  </si>
  <si>
    <t>Andriy Magometa</t>
  </si>
  <si>
    <t>15:47</t>
  </si>
  <si>
    <t>Galya  Vavruh</t>
  </si>
  <si>
    <t>15:45</t>
  </si>
  <si>
    <t>Служать окраїні</t>
  </si>
  <si>
    <t>Yuriy Tokarchuk</t>
  </si>
  <si>
    <t>15:42</t>
  </si>
  <si>
    <t>Ярослав Віфлінзідерне рахуйте чужі гроші</t>
  </si>
  <si>
    <t>Светлана Васильевазаздріть мовчки. 😂</t>
  </si>
  <si>
    <t>15:37</t>
  </si>
  <si>
    <t>Зоя Артеменко в Ісусовій церкві гроші Бог!
Хто дає гроші на церкву- прощенний!</t>
  </si>
  <si>
    <t>Вогонь Пекучий</t>
  </si>
  <si>
    <t>15:36</t>
  </si>
  <si>
    <t>Ілля Шарков</t>
  </si>
  <si>
    <t>15:34</t>
  </si>
  <si>
    <t>Надя Ошатюк а що сказати сука</t>
  </si>
  <si>
    <t>Ольга Саліонович</t>
  </si>
  <si>
    <t>15:32</t>
  </si>
  <si>
    <t>Бля бля ребята ви чо там поруч Бурштин вони мультимільйонери що їм ті 2 ляма</t>
  </si>
  <si>
    <t>Oleg  Scherbak</t>
  </si>
  <si>
    <t>vip.shcherbak</t>
  </si>
  <si>
    <t>Недригайлів</t>
  </si>
  <si>
    <t>Любов Калитчук так не всі ж можуть так нахабно красти,як ви мадам.</t>
  </si>
  <si>
    <t>15:29</t>
  </si>
  <si>
    <t>Молодці</t>
  </si>
  <si>
    <t>Ярослав Дорош</t>
  </si>
  <si>
    <t>Бурштин</t>
  </si>
  <si>
    <t>15:28</t>
  </si>
  <si>
    <t>Отак і живем!</t>
  </si>
  <si>
    <t>Olena Sergeieva</t>
  </si>
  <si>
    <t>elena.sergeeva.18294</t>
  </si>
  <si>
    <t>А де докази?</t>
  </si>
  <si>
    <t>Маріна Попович</t>
  </si>
  <si>
    <t>15:22</t>
  </si>
  <si>
    <t>Боженько,коли ти їх покараєш? Надія тільки на тебе,закону у нас немає.</t>
  </si>
  <si>
    <t>Зоя Артеменко</t>
  </si>
  <si>
    <t>15:18</t>
  </si>
  <si>
    <t>Оце крадуть з великої букви.</t>
  </si>
  <si>
    <t>Валентина Панасюк</t>
  </si>
  <si>
    <t>15:15</t>
  </si>
  <si>
    <t>Піпець..   👿👿👿👿</t>
  </si>
  <si>
    <t>Galina Oleksyn</t>
  </si>
  <si>
    <t>galina.kroshna</t>
  </si>
  <si>
    <t>Реджо-Эмилия</t>
  </si>
  <si>
    <t>15:12</t>
  </si>
  <si>
    <t>..влада , яку обирали  люди …</t>
  </si>
  <si>
    <t>Юрій Бабаєв</t>
  </si>
  <si>
    <t>Бразилія</t>
  </si>
  <si>
    <t>Пара</t>
  </si>
  <si>
    <t>15:10</t>
  </si>
  <si>
    <t>так а на що саме вони виділялись- місто не дуже велике- і власної промисловості не має. а побутова інфраструктура майже вся приватних забудовників. на повітря?</t>
  </si>
  <si>
    <t>Назар Сок</t>
  </si>
  <si>
    <t>Борислава Білоцерківська не вмію так як донька мера 😁хоч стараюся☝️😁</t>
  </si>
  <si>
    <t>15:09</t>
  </si>
  <si>
    <t>Надежда Терехова не так колядуєш  🤣🤣🤣</t>
  </si>
  <si>
    <t>Boryslava Bilotserkivska</t>
  </si>
  <si>
    <t>bravabest</t>
  </si>
  <si>
    <t>Мазовецьке воєводство</t>
  </si>
  <si>
    <t>Варшава</t>
  </si>
  <si>
    <t>Назар Сок розкралання батьком державних грошей</t>
  </si>
  <si>
    <t>15:08</t>
  </si>
  <si>
    <t>Борислава Білоцерківська ага)) я тут на хату в селі не можу назбирати, не те , що в Маямі😁</t>
  </si>
  <si>
    <t>15:07</t>
  </si>
  <si>
    <t>чому не люблять- дуже люблять- просто не як взаємовигідну- як середній клас. а як експлуатуєму- феодальну вотчину</t>
  </si>
  <si>
    <t>15:06</t>
  </si>
  <si>
    <t>Любов Калитчук так але можна спитати за які шиші можна обрахувати зарплати її і її батька і всю родину якщо укладається це усе в заробіток то є чесно зароблене а якщо ні то вкрадене майно і за яке потрібно відповісти по закону</t>
  </si>
  <si>
    <t>Ярослав Віфлінзідер</t>
  </si>
  <si>
    <t>15:04</t>
  </si>
  <si>
    <t>Ну ти знову за своє... Та ж дівчина з України, може ходила по Маямі колядувати, люди накидали та й купила хатинку таку скромненьку 🤣</t>
  </si>
  <si>
    <t>15:02</t>
  </si>
  <si>
    <t>Це пізд...</t>
  </si>
  <si>
    <t>Светлана Якобчук</t>
  </si>
  <si>
    <t>gocpoda</t>
  </si>
  <si>
    <t>15:00</t>
  </si>
  <si>
    <t>Mikhailo Sabetskyy ми лохи від часу як звернули не туда при виборі першого президента  90 року при виборі казали нам потрібний з досвідом а хто є такій Чорновіл і тут усі відали голоси за досвідченого якій з нами зробив що маємо тепер</t>
  </si>
  <si>
    <t>і це не саме промислове місто- це практично спальний район заробітчан- які самі працювали в Європах. З чого в Тернополі можна утворити таку націнку? З кави і барбершопів одне одному- не утвориш- у Львові барбершоплять ІТшників- так самі ІТшники для того мають бути. І вони теж- на зовнішній ринок. Що такого "градообразующеого" існує в Тернополі? аграрні схеми? так мер саме міста- в них навряд- це обласні і районні теми</t>
  </si>
  <si>
    <t>14:59</t>
  </si>
  <si>
    <t>Naki Tompson якщо вам потрібні подробиці- це все можна знайти в інтернеті.
Я не журналіст , я кидаю такі пости для обговорення .</t>
  </si>
  <si>
    <t>Олег Бідяк</t>
  </si>
  <si>
    <t>Тому і ми такі бідні,що керують люди які не люблять Україну</t>
  </si>
  <si>
    <t>Марія Гук</t>
  </si>
  <si>
    <t>14:56</t>
  </si>
  <si>
    <t>Такі пости варто писати з посиланнями на джерела</t>
  </si>
  <si>
    <t>Naki Tompson</t>
  </si>
  <si>
    <t>naki.tompson.94</t>
  </si>
  <si>
    <t>14:53</t>
  </si>
  <si>
    <t>За які гроші,те що татко набрав... Позор...</t>
  </si>
  <si>
    <t>Оксана Пшик</t>
  </si>
  <si>
    <t>14:51</t>
  </si>
  <si>
    <t>14:49</t>
  </si>
  <si>
    <t>«Свобода» рулить</t>
  </si>
  <si>
    <t>Галина Возна</t>
  </si>
  <si>
    <t>14:42</t>
  </si>
  <si>
    <t>Вера Дідик</t>
  </si>
  <si>
    <t>14:40</t>
  </si>
  <si>
    <t>Ігор Федорченко</t>
  </si>
  <si>
    <t>14:35</t>
  </si>
  <si>
    <t>Андрій Черкаський</t>
  </si>
  <si>
    <t>AndrijKij17233</t>
  </si>
  <si>
    <t>Все ідеально чисто провірено всіма аникорупційними органами .ми не лохи.ЛОХИ МИ</t>
  </si>
  <si>
    <t>Mikhailo Sabetskyy</t>
  </si>
  <si>
    <t>mikhailo.sabetskyy</t>
  </si>
  <si>
    <t>14:20</t>
  </si>
  <si>
    <t>А що скажуть свободівці?Україну любим тільки за кордоном,хлопа берем теж звідтіля...а як щодо української ідентичності?</t>
  </si>
  <si>
    <t>Надя Ошатюк</t>
  </si>
  <si>
    <t>13:48</t>
  </si>
  <si>
    <t>Хавайте, земляки, ці що крадуть- це ваш вибір  , ваша бездумність дурість і огидна тупість.</t>
  </si>
  <si>
    <t>ALeksandr MikchaiLowicz</t>
  </si>
  <si>
    <t>janus.zlobkowski</t>
  </si>
  <si>
    <t>Мюнхен</t>
  </si>
  <si>
    <t>13:39</t>
  </si>
  <si>
    <t>Ну і що, що купила? Вам хто не давав купити?</t>
  </si>
  <si>
    <t>13:17</t>
  </si>
  <si>
    <t>Kateryna Matzopa Serbin</t>
  </si>
  <si>
    <t>Форли</t>
  </si>
  <si>
    <t>13:10</t>
  </si>
  <si>
    <t>А тому,що в них крадені мільйони.....</t>
  </si>
  <si>
    <t>Наталія Красій-Борик</t>
  </si>
  <si>
    <t>Калуш</t>
  </si>
  <si>
    <t>12:57</t>
  </si>
  <si>
    <t>Vasil Dzhuhan</t>
  </si>
  <si>
    <t>Ще трохи і всі повилазять,це тільки початок</t>
  </si>
  <si>
    <t>Halyna Schönherr</t>
  </si>
  <si>
    <t>12:50</t>
  </si>
  <si>
    <t>sposterihaem</t>
  </si>
  <si>
    <t>sposterigaem</t>
  </si>
  <si>
    <t>12:45</t>
  </si>
  <si>
    <t>А у нас вчора похоронили сина вчительки, який загинув за Україну 😥
Вони не купували маєтки у Маямі, бо дорожать Україною . І якби окремі… не грабували цю державу, то можливо багато військових були би живі.
Кровавий то маєток, хоч і у Маямі.</t>
  </si>
  <si>
    <t>Оксана Климюк</t>
  </si>
  <si>
    <t>Юрій Хорт</t>
  </si>
  <si>
    <t>12:27</t>
  </si>
  <si>
    <t>А чєчєни з циркуляркою чекають</t>
  </si>
  <si>
    <t>Володимир Кожихов</t>
  </si>
  <si>
    <t>12:15</t>
  </si>
  <si>
    <t>Донька мера Тернополя Сергія Надала придбала віллу майже за 2 млн доларів в престижному районі Маямі Coral Gables.</t>
  </si>
  <si>
    <t>Вона вже в Польщі на сезони поїхала,робить тяжко в полі.
Ось і купила.
Їдьте і заробіть,і теж купите і кращу.🤔🤗🫣😕😕😕
Ось так😂😀😀</t>
  </si>
  <si>
    <t>Степан Лучишин</t>
  </si>
  <si>
    <t>Новини Тернопіль</t>
  </si>
  <si>
    <t>Гамбурґ</t>
  </si>
  <si>
    <t>Гамбург</t>
  </si>
  <si>
    <t>Народ по гривні збирає для військових через те , що отакі надали мародерать все , що тільки можна . Розстріл з конфіксацією майна.Цвіт нації в сирій землі через таку падаль . Розумію тільки тепер розумію Сталіна.</t>
  </si>
  <si>
    <t>Vadym Druz</t>
  </si>
  <si>
    <t>12:13</t>
  </si>
  <si>
    <t>От не понятно от куда грош1 це науц1 пока не в1домо !!!</t>
  </si>
  <si>
    <t>Nikolai Savega</t>
  </si>
  <si>
    <t>nikolai.savega</t>
  </si>
  <si>
    <t>ГОЛОВНІ НОВИНИ УКРАЇНИ</t>
  </si>
  <si>
    <t>Кам’янське</t>
  </si>
  <si>
    <t>12:10</t>
  </si>
  <si>
    <t>Не можу я це все читати, не можу!!!! Приходить на пам'ять казка про Золоту антилопу... щоб вас, виродки ненажерливі, засипало черепками до сьомого коліна.</t>
  </si>
  <si>
    <t>Світлана Вітковська</t>
  </si>
  <si>
    <t>Допоки їх діти не будуть жити в рідній країні і планувати жити лише тут такі як він її будуть грабувати</t>
  </si>
  <si>
    <t>Артем Железняк</t>
  </si>
  <si>
    <t>12:06</t>
  </si>
  <si>
    <t>Тому, що всі зв'язані корупцією, вся злодійня тримається купи,але як кажуть: до моменту збанок воду носить, кара ГОСПОДНЯ прийде на всіх злодіїв.</t>
  </si>
  <si>
    <t>Лідія Добрянська</t>
  </si>
  <si>
    <t>12:04</t>
  </si>
  <si>
    <t>Тернопільські плітки без цензури</t>
  </si>
  <si>
    <t>Тернопільські оголошення і області</t>
  </si>
  <si>
    <t>12:03</t>
  </si>
  <si>
    <t>Новини України</t>
  </si>
  <si>
    <t>Продай-купи Збараж Тернопільщина</t>
  </si>
  <si>
    <t>Новини Тернополя (Громадський погляд Тернопільщини)</t>
  </si>
  <si>
    <t>"ТЕРНОПІЛЬ-ІНФО"</t>
  </si>
  <si>
    <t>Чортків сьогодні</t>
  </si>
  <si>
    <t>ТЕРНОПІЛЬ І ТЕРНОПІЛЬСЬКА ОБЛАСТЬ</t>
  </si>
  <si>
    <t>Тернопіль info</t>
  </si>
  <si>
    <t>Новини Тернопільщини</t>
  </si>
  <si>
    <t>ЧОРТКІВ ТОРГІВЛЯ ОНЛАЙН</t>
  </si>
  <si>
    <t>Новини Тернополя</t>
  </si>
  <si>
    <t>11:57</t>
  </si>
  <si>
    <t>Донька мера Тернополя Сергія Надала придбала віллу майже за 2 млн доларів в престижному районі Маямі Coral</t>
  </si>
  <si>
    <t>Нехай купляє.
Вона щорічно їздить в Польщу на сезонні роботи,вже поїхала.Щоб пан не взяв іншого на її місце.Такщо робить тяжко аж хрибет тріскає,труси мокрі,дощ,зливи,її похую.
Ось і купила,а Тато тільки вчить працювати і берегти роботу.Ось так.😕😕😕🤗🤔</t>
  </si>
  <si>
    <t>Все про цікаве</t>
  </si>
  <si>
    <t>11:55</t>
  </si>
  <si>
    <t>АДМІН Калуш Без Цензури</t>
  </si>
  <si>
    <t>11:44</t>
  </si>
  <si>
    <t>Де докази.. Фото не доказ</t>
  </si>
  <si>
    <t>Lyalya Oleksyuk</t>
  </si>
  <si>
    <t>Західна Україна News</t>
  </si>
  <si>
    <t>Солочин</t>
  </si>
  <si>
    <t>11:32</t>
  </si>
  <si>
    <t>Продолжайте донатить 😏
Майже за 2 млн доларів донька мера Тернополя купила маєток у Маямі
Нова вілла Анастасії Надал знаходиться в одному з найпрестижніших районів Маямі Coral Gables і оформлена на чоловіка Рубена Родрігеса. Офіційних доходів для придбання такої нерухомості в чоловіка не було.
Крім того, Надал придбала апартаменти у Маямі за 380 тисяч доларів також без підтвердження доходів.</t>
  </si>
  <si>
    <t>Svitlana Prelgauskene</t>
  </si>
  <si>
    <t>svitlana.prelgauskene</t>
  </si>
  <si>
    <t>11:22</t>
  </si>
  <si>
    <t>Александр Дубовой</t>
  </si>
  <si>
    <t>Луганська область</t>
  </si>
  <si>
    <t>Старобільськ</t>
  </si>
  <si>
    <t>11:19</t>
  </si>
  <si>
    <t>Нарешті почали писати те, про що я пишу вже 7 років.
Донька мера Тернополя від партії Сволота Сергія Надала, друга та наставника Симчишина, придбала віллу майже за 2 млн доларів в престижному районі Маямі Coral Gables. 
Нерухомість оформлена на її чоловіка Рубена Родрігеса, офіційних доходів для такої покупки у нього не зафіксовано. Крім того, вона купила апартаменти у Маямі за 380 тисяч доларів без підтверджених джерел коштів.
Раніше НАБУ та САП відкривали провадження щодо можливого незаконного збагачення Сергія Надала. Це було після 6 років після того, як я це писав.
Тепер, через 7 років, почали писати ЗМІ. 
Можливо ще за пару років роздупляться щодо вілли Симчишина в Іспанії та будинку в Італії, а також якого милого кілька років тому Симчишин з Надалом літали до Китаю. Підказка - обоє відкривали рахунки в китайському банку.
А лохи і далі голосують за злодіїв.</t>
  </si>
  <si>
    <t>Unconquered Zhanna</t>
  </si>
  <si>
    <t>11:12</t>
  </si>
  <si>
    <t>Kozak Sergej</t>
  </si>
  <si>
    <t>Кам’янець-Подільський</t>
  </si>
  <si>
    <t>11:11</t>
  </si>
  <si>
    <t>Де є СБУ,що допустили до цього</t>
  </si>
  <si>
    <t>Ксюха Кос</t>
  </si>
  <si>
    <t>Колубаївці</t>
  </si>
  <si>
    <t>10:59</t>
  </si>
  <si>
    <t>Mariya Novyk</t>
  </si>
  <si>
    <t>Болонья</t>
  </si>
  <si>
    <t>10:45</t>
  </si>
  <si>
    <t>Що так аони всі злодії мають так жирцвати ,він де заробив такі гроші на стройці ,більше неплатять ніде багато ,тільки так можна красти щоб бути мілірнером ,за таке иреба чудити в цей час і все правильно робити що твориться в Україні ,ніхто нікого небоїться ,як найбільше,скільки можна вдатись</t>
  </si>
  <si>
    <t>Oksana Panchak</t>
  </si>
  <si>
    <t>oksana.panchak.94</t>
  </si>
  <si>
    <t>10:28</t>
  </si>
  <si>
    <t>09:58</t>
  </si>
  <si>
    <t>Анатолій Янушкевіч</t>
  </si>
  <si>
    <t>Данія</t>
  </si>
  <si>
    <t>Центральна Ютландія</t>
  </si>
  <si>
    <t>Гернінг</t>
  </si>
  <si>
    <t>09:57</t>
  </si>
  <si>
    <t>Донька українського Воїна і донька загиблого Героя ніколи такого не придбають. Бо за чесні гроші такого не наживеш.
Хіба наші Воїни віддають життя за отаку дійсність?
Донька мера Тернополя купила маєток в Маямі за майже 2 млн доларів.
Вілла Анастасії Надал знаходиться в одному з найпрестижніших районів Маямі Coral Gables і офорлена на чоловіка Рубена Родрігеса. Офіційних доходів для придбання такої нерухомості у чоловіка не було.
Крім того, Надал придбала апартаменти у Маямі за 380 тисяч доларів також без підтвердження доходів.
НАБУ і САП відкрили провадження щодо незаконного збагачення Сергія Надала…</t>
  </si>
  <si>
    <t>Галина Гловацька</t>
  </si>
  <si>
    <t>09:27</t>
  </si>
  <si>
    <t>….І цвітуть усі злочинці як трава це на те щоб  на віки вони були знищені….</t>
  </si>
  <si>
    <t>Anastasiia Prokudina</t>
  </si>
  <si>
    <t>09:07</t>
  </si>
  <si>
    <t>Лісоруб Залізний</t>
  </si>
  <si>
    <t>LisorubZalizni</t>
  </si>
  <si>
    <t>Карпати</t>
  </si>
  <si>
    <t>09:03</t>
  </si>
  <si>
    <t>А що нема за що придбати?</t>
  </si>
  <si>
    <t>Людмила Ермакова</t>
  </si>
  <si>
    <t>Сербська</t>
  </si>
  <si>
    <t>09:02</t>
  </si>
  <si>
    <t>Надежда Надежда</t>
  </si>
  <si>
    <t>Нова Одеса</t>
  </si>
  <si>
    <t>09:00</t>
  </si>
  <si>
    <t>Caterina Davydiak</t>
  </si>
  <si>
    <t>caterina.davydiak</t>
  </si>
  <si>
    <t>Апулія</t>
  </si>
  <si>
    <t>Таранто</t>
  </si>
  <si>
    <t>08:56</t>
  </si>
  <si>
    <t>Віра Йосипівна</t>
  </si>
  <si>
    <t>Коломия</t>
  </si>
  <si>
    <t>08:44</t>
  </si>
  <si>
    <t>Світлана</t>
  </si>
  <si>
    <t>yAxmQJSEsfcvt41</t>
  </si>
  <si>
    <t>08:40</t>
  </si>
  <si>
    <t>👀 Донька мера Тернополя Сергія Надала придбала нерухомість у США на мільйони доларів, — ЗМІ
⭕️Йдеться про віллу майже за $2 млн у престижному районі Coral Gables, а також апартаменти вартістю $380 тисяч.
⭕️За даними журналістів, офіційних доходів, які б дозволили такі покупки, не зафіксовано. 
⭕️Раніше НАБУ та САП розслідували можливе незаконне збагачення міського голови.
Без Фільтрів |</t>
  </si>
  <si>
    <t>Sergii Kramar</t>
  </si>
  <si>
    <t>Донька мера Тернополя Сергія Надала придбала віллу майже за 2 млн доларів в престижному районі Маямі Coral Gables. 
Нерухомість оформлена на її чоловіка Рубена Родрігеса, офіційних доходів для такої покупки у нього не зафіксовано. Крім того, вона купила апартаменти у Маямі за 380 тисяч доларів без підтверджених джерел коштів.
Раніше НАБУ та САП відкривали провадження щодо можливого незаконного збагачення Сергія Надала.
https://www.instagram.com/p/DVRp4cYDAwJ/?igsh=OXN2NmRjMnpzN3V4</t>
  </si>
  <si>
    <t>Olga Kosenko</t>
  </si>
  <si>
    <t>olga.zuzulka</t>
  </si>
  <si>
    <t>Оголошення Тернопіль</t>
  </si>
  <si>
    <t>08:19</t>
  </si>
  <si>
    <t>Volodymyr</t>
  </si>
  <si>
    <t>Volodymyr228252</t>
  </si>
  <si>
    <t>08:10</t>
  </si>
  <si>
    <t>Любомир Федисів</t>
  </si>
  <si>
    <t>kuzelnyk</t>
  </si>
  <si>
    <t>Юго-Запад</t>
  </si>
  <si>
    <t>Пльзень</t>
  </si>
  <si>
    <t>08:09</t>
  </si>
  <si>
    <t>Vasya</t>
  </si>
  <si>
    <t>Peter83725050</t>
  </si>
  <si>
    <t>07:52</t>
  </si>
  <si>
    <t>Rumbambarovy Kampot</t>
  </si>
  <si>
    <t>myurlmiroslav</t>
  </si>
  <si>
    <t>07:08</t>
  </si>
  <si>
    <t>🤣🤣🤣🤣🤣🤣🤣🤣🤣🤣🤣🤣🤣🤣🤣🤣🤣🤣🤣🤣🤣🤣🤣
Вілла в Маямі за 2 мільйони доларів. Донька мера Тернополя Сергія Надала оселилася в  США під час війни</t>
  </si>
  <si>
    <t>Leonid Chepurnyiy</t>
  </si>
  <si>
    <t>leonid.chepurnyiy</t>
  </si>
  <si>
    <t>Харківська область</t>
  </si>
  <si>
    <t>Харків</t>
  </si>
  <si>
    <t>06:57</t>
  </si>
  <si>
    <t>Светлана Сорочинская</t>
  </si>
  <si>
    <t>Дубно</t>
  </si>
  <si>
    <t>Aleksandr Shanoval</t>
  </si>
  <si>
    <t>AleksandrShano1</t>
  </si>
  <si>
    <t>06:52</t>
  </si>
  <si>
    <t>Oceandontmatter</t>
  </si>
  <si>
    <t>06:05</t>
  </si>
  <si>
    <t>Таня Полева</t>
  </si>
  <si>
    <t>05:45</t>
  </si>
  <si>
    <t>Де підтвердження всього того про що ви написали?</t>
  </si>
  <si>
    <t>Віктор Бондар</t>
  </si>
  <si>
    <t>vp.viktor</t>
  </si>
  <si>
    <t>Olexandra Nesterenko</t>
  </si>
  <si>
    <t>05:22</t>
  </si>
  <si>
    <t>Григорій Кабанченко</t>
  </si>
  <si>
    <t>kabanshenko</t>
  </si>
  <si>
    <t>05:11</t>
  </si>
  <si>
    <t>Mariana Meri</t>
  </si>
  <si>
    <t>Трибуна закарпатця</t>
  </si>
  <si>
    <t>04:16</t>
  </si>
  <si>
    <t>Валерiй</t>
  </si>
  <si>
    <t>i01435933</t>
  </si>
  <si>
    <t>03:58</t>
  </si>
  <si>
    <t>Helen Rum</t>
  </si>
  <si>
    <t>П'ємонт</t>
  </si>
  <si>
    <t>Фоссано</t>
  </si>
  <si>
    <t>03:52</t>
  </si>
  <si>
    <t>Леонид Спасибухин</t>
  </si>
  <si>
    <t>03:37</t>
  </si>
  <si>
    <t>Oleg Konov</t>
  </si>
  <si>
    <t>jhanter</t>
  </si>
  <si>
    <t>02:47</t>
  </si>
  <si>
    <t>vadym.druz.1</t>
  </si>
  <si>
    <t>Велика Британія</t>
  </si>
  <si>
    <t>Англія</t>
  </si>
  <si>
    <t>Лондон</t>
  </si>
  <si>
    <t>02:39</t>
  </si>
  <si>
    <t>Alexandr  Alexeev</t>
  </si>
  <si>
    <t>navu.alexeev</t>
  </si>
  <si>
    <t>02:20</t>
  </si>
  <si>
    <t>Москва впаде )))
Одні з головних бенефіціарів війни в середині країни.</t>
  </si>
  <si>
    <t>Adam Radecki</t>
  </si>
  <si>
    <t>02:18</t>
  </si>
  <si>
    <t>Extremarium</t>
  </si>
  <si>
    <t>extremarium</t>
  </si>
  <si>
    <t>01:50</t>
  </si>
  <si>
    <t>Svitlana</t>
  </si>
  <si>
    <t>SvetlanaBranits</t>
  </si>
  <si>
    <t>01:11</t>
  </si>
  <si>
    <t>Karpusha Ukrainka</t>
  </si>
  <si>
    <t>KarpushaUkrainka</t>
  </si>
  <si>
    <t>Столичний регіон</t>
  </si>
  <si>
    <t>Копенгаген</t>
  </si>
  <si>
    <t>KrAmpUs</t>
  </si>
  <si>
    <t>babaduk777</t>
  </si>
  <si>
    <t>00:57</t>
  </si>
  <si>
    <t>Юрій Монзолевський</t>
  </si>
  <si>
    <t>rampant7096</t>
  </si>
  <si>
    <t>00:53</t>
  </si>
  <si>
    <t>Mykola Sokalskiy</t>
  </si>
  <si>
    <t>00:34</t>
  </si>
  <si>
    <t>ya shark</t>
  </si>
  <si>
    <t>o_yakym</t>
  </si>
  <si>
    <t>Vasyl Kramar</t>
  </si>
  <si>
    <t>00:09</t>
  </si>
  <si>
    <t>00:02</t>
  </si>
  <si>
    <t>mazafaza 25%</t>
  </si>
  <si>
    <t>mazafaza1</t>
  </si>
  <si>
    <t>00:00</t>
  </si>
  <si>
    <t>Don&amp;Bass</t>
  </si>
  <si>
    <t>DonnaBassUA</t>
  </si>
  <si>
    <t>28.02.2026</t>
  </si>
  <si>
    <t>23:59</t>
  </si>
  <si>
    <t>Dana Oleskiv</t>
  </si>
  <si>
    <t>DanaOleskiv</t>
  </si>
  <si>
    <t>Олександр Коновалов</t>
  </si>
  <si>
    <t>23:48</t>
  </si>
  <si>
    <t>Volodymyr Ruban</t>
  </si>
  <si>
    <t>volruban</t>
  </si>
  <si>
    <t>23:46</t>
  </si>
  <si>
    <t>Тетяна Тетяна</t>
  </si>
  <si>
    <t>23:28</t>
  </si>
  <si>
    <t>Vl Ri</t>
  </si>
  <si>
    <t>VlRi78763174</t>
  </si>
  <si>
    <t>23:20</t>
  </si>
  <si>
    <t>L. Smith 66</t>
  </si>
  <si>
    <t>ValerTelen48747</t>
  </si>
  <si>
    <t>23:19</t>
  </si>
  <si>
    <t>black hood</t>
  </si>
  <si>
    <t>Ihor93694503</t>
  </si>
  <si>
    <t>Прага</t>
  </si>
  <si>
    <t>23:13</t>
  </si>
  <si>
    <t>Анастасия Швец</t>
  </si>
  <si>
    <t>AnastasiaSvec16</t>
  </si>
  <si>
    <t>22:48</t>
  </si>
  <si>
    <t>T_V</t>
  </si>
  <si>
    <t>Tetiana_lesulis</t>
  </si>
  <si>
    <t>22:47</t>
  </si>
  <si>
    <t>Liliya 🇺🇦 Слава Україні! 🇺🇦</t>
  </si>
  <si>
    <t>Li_berl</t>
  </si>
  <si>
    <t>22:44</t>
  </si>
  <si>
    <t>Лейтенант запасу</t>
  </si>
  <si>
    <t>7qqUpa</t>
  </si>
  <si>
    <t>22:36</t>
  </si>
  <si>
    <t>Andrei</t>
  </si>
  <si>
    <t>Andrei73538097</t>
  </si>
  <si>
    <t>22:27</t>
  </si>
  <si>
    <t>Tania Shmagina</t>
  </si>
  <si>
    <t>22:23</t>
  </si>
  <si>
    <t>І біля доці невдовзі буде і татко. Літачок вже нагострен</t>
  </si>
  <si>
    <t>Світлана Грищенко</t>
  </si>
  <si>
    <t>swetlanaenko</t>
  </si>
  <si>
    <t>Рівне</t>
  </si>
  <si>
    <t>22:22</t>
  </si>
  <si>
    <t>Нина Войтова Країна мрій.</t>
  </si>
  <si>
    <t>Олександр Михайленко</t>
  </si>
  <si>
    <t>22:20</t>
  </si>
  <si>
    <t>Слава Україні 🫡 а ми донатьте воюйте гиньте! А гниди будуть панувати 🥸🤦🏻‍♂️🤝 Донька мера Тернополя купила маєток в</t>
  </si>
  <si>
    <t>Ivzhenko Andrij тобі нагадати, за якими цінами здають житло військовим на святій Сумщині?
Ото облиш цю хуйню з діленням.</t>
  </si>
  <si>
    <t>Іван Швидко</t>
  </si>
  <si>
    <t>shvydkoivan</t>
  </si>
  <si>
    <t>Roman Rover</t>
  </si>
  <si>
    <t>Дмитро Анатолійович</t>
  </si>
  <si>
    <t>Sv3XTcFRUAHTYi9</t>
  </si>
  <si>
    <t>22:15</t>
  </si>
  <si>
    <t>Грга Питич</t>
  </si>
  <si>
    <t>turan4ox72</t>
  </si>
  <si>
    <t>Ну ну</t>
  </si>
  <si>
    <t>Роман Петришин</t>
  </si>
  <si>
    <t>aisha.lviv</t>
  </si>
  <si>
    <t>Росія</t>
  </si>
  <si>
    <t>Самарська область</t>
  </si>
  <si>
    <t>Тольятті</t>
  </si>
  <si>
    <t>22:01</t>
  </si>
  <si>
    <t>Lyubov Fedornyak</t>
  </si>
  <si>
    <t>Мі100 Львів</t>
  </si>
  <si>
    <t>21:59</t>
  </si>
  <si>
    <t>За то простой народ должен предоставить за каждую бумажку отчёт как и когда заработал .</t>
  </si>
  <si>
    <t>Надежда Стрелкова</t>
  </si>
  <si>
    <t>Московська область</t>
  </si>
  <si>
    <t>Красноармейск</t>
  </si>
  <si>
    <t>Norton Jaybush</t>
  </si>
  <si>
    <t>sevatiwidam</t>
  </si>
  <si>
    <t>Віта Тиницька</t>
  </si>
  <si>
    <t>Vitashechka</t>
  </si>
  <si>
    <t>AnatPanch</t>
  </si>
  <si>
    <t>21:53</t>
  </si>
  <si>
    <t>Лысикова Анна</t>
  </si>
  <si>
    <t>lanna1881</t>
  </si>
  <si>
    <t>Туреччина</t>
  </si>
  <si>
    <t>21:51</t>
  </si>
  <si>
    <t>Kasуаmed</t>
  </si>
  <si>
    <t>KasyaMelnik</t>
  </si>
  <si>
    <t>Вишневе</t>
  </si>
  <si>
    <t>21:43</t>
  </si>
  <si>
    <t>Любовь Масюк</t>
  </si>
  <si>
    <t>21:42</t>
  </si>
  <si>
    <t>І шо робити,виявляється світ не ідеальний</t>
  </si>
  <si>
    <t>Мірошніченко Віталій</t>
  </si>
  <si>
    <t>Кривий Ріг</t>
  </si>
  <si>
    <t>21:36</t>
  </si>
  <si>
    <t>Pavlo Anatoliyovich</t>
  </si>
  <si>
    <t>PAnatoliyovich</t>
  </si>
  <si>
    <t>21:35</t>
  </si>
  <si>
    <t>Скільки можна грабувати бідну Україну</t>
  </si>
  <si>
    <t>Tatyana Dymo</t>
  </si>
  <si>
    <t>tatyana.dymo.1</t>
  </si>
  <si>
    <t>Виктория</t>
  </si>
  <si>
    <t>Tut_toje_tut</t>
  </si>
  <si>
    <t>Igor Shishkovsky</t>
  </si>
  <si>
    <t>Igor.Shishkovsky</t>
  </si>
  <si>
    <t>Ledi K</t>
  </si>
  <si>
    <t>LediK13</t>
  </si>
  <si>
    <t>21:30</t>
  </si>
  <si>
    <t>VovaN</t>
  </si>
  <si>
    <t>Maseich</t>
  </si>
  <si>
    <t>21:29</t>
  </si>
  <si>
    <t>То вже скоро буде 10 років,навіщо зараз постити це? Дочка Надала замужем за іноземця,можливо він і купив.</t>
  </si>
  <si>
    <t>Марія Баран</t>
  </si>
  <si>
    <t>21:26</t>
  </si>
  <si>
    <t>Anneta Sadowska</t>
  </si>
  <si>
    <t>anneta.sadovska</t>
  </si>
  <si>
    <t>21:25</t>
  </si>
  <si>
    <t>Marina Gakhova💛💙🐦🇺🇦</t>
  </si>
  <si>
    <t>MarinaGakhova</t>
  </si>
  <si>
    <t>21:23</t>
  </si>
  <si>
    <t>Анатолий Шо</t>
  </si>
  <si>
    <t>AnatolySho</t>
  </si>
  <si>
    <t>21:19</t>
  </si>
  <si>
    <t>krot04</t>
  </si>
  <si>
    <t>Еней Анхізович Моторний</t>
  </si>
  <si>
    <t>VitaliyUdo</t>
  </si>
  <si>
    <t>Yaroslav</t>
  </si>
  <si>
    <t>MrychkoYar</t>
  </si>
  <si>
    <t>AntPozharnytska</t>
  </si>
  <si>
    <t>pozharnyts_ka</t>
  </si>
  <si>
    <t>21:15</t>
  </si>
  <si>
    <t>Katerina</t>
  </si>
  <si>
    <t>katrinwerty</t>
  </si>
  <si>
    <t>21:02</t>
  </si>
  <si>
    <t>Юрій🌏</t>
  </si>
  <si>
    <t>kravayu</t>
  </si>
  <si>
    <t>21:01</t>
  </si>
  <si>
    <t>bichik under fire</t>
  </si>
  <si>
    <t>bichikota</t>
  </si>
  <si>
    <t>Нажаль чи на щастя здавачів хат і тд незнаю, тому немаю що сказати, підари є всюди, факт. але не всі такі як хочете чути чи соцмережі малюють..нажаль.</t>
  </si>
  <si>
    <t>roman.rover1</t>
  </si>
  <si>
    <t>20:56</t>
  </si>
  <si>
    <t>Петя Шеремета</t>
  </si>
  <si>
    <t>SamTatarin</t>
  </si>
  <si>
    <t>20:53</t>
  </si>
  <si>
    <t>андрій</t>
  </si>
  <si>
    <t>andrij845343</t>
  </si>
  <si>
    <t>Ivzhenko Andrij ви взагалі там зі сходу/півдня і тд  погано що по почали ділити Україну на частини, це не добре таке робити( країна має бути одна, погано її дилити</t>
  </si>
  <si>
    <t>20:47</t>
  </si>
  <si>
    <t>Ви взагалі там на західної України живете в паралельному світі</t>
  </si>
  <si>
    <t>Ivzhenko Andrij</t>
  </si>
  <si>
    <t>andrej.ivzhenko</t>
  </si>
  <si>
    <t>Охтирка</t>
  </si>
  <si>
    <t>20:45</t>
  </si>
  <si>
    <t>Лара2791</t>
  </si>
  <si>
    <t>GL6CQGePf8ficEN</t>
  </si>
  <si>
    <t>20:44</t>
  </si>
  <si>
    <t>На вкрадені в українців гроші, але ж в вишиванці і українською мовою. Це так патріотично.</t>
  </si>
  <si>
    <t>Holly Moonwind</t>
  </si>
  <si>
    <t>Влад Антонов</t>
  </si>
  <si>
    <t>20:43</t>
  </si>
  <si>
    <t>Слава Україні 🫡 а ми донатьте воюйте гиньте! А гниди будуть панувати 🥸🤦🏻‍♂️🤝
Донька мера Тернополя купила маєток в Маямі за майже 2 млн доларів.
Вілла Анастасії Надал знаходиться в одному з найпрестижніших районів Маямі Coral Gables і офорлена на чоловіка Рубена Родрігеса. Офіційних доходів для придбання такої нерухомості у чоловіка не було.
Крім того, Надал придбала апартаменти у Маямі за 380 тисяч доларів також без підтвердження доходів.
НАБУ і САП відкрили провадження щодо незаконного збагачення Сергія Надала…</t>
  </si>
  <si>
    <t>20:42</t>
  </si>
  <si>
    <t>Донька мера Тернополя Сергія Надала стала власницею елітної нерухомості у США  Анастасія Надал придбала віллу в престижному районі Coral Gables (Маямі) вартістю майже $2 млн.    Маєток оформлений на її чоловіка, Рубена Родрігеса. У відкритих джерелах відсутня інформація про його офіційні доходи, які могли б пояснити фінансову спроможність здійснити подібну угоду.   Крім вілли, у власності родини з'явилися апартаменти в Маямі за $380 тисяч.   НАБУ та САП відкрили кримінальне провадження щодо можливого незаконного збагачення Сергія Надала.   Ви будете шоковані від масштабів елітної нерухомості Миколаївського мера Сєнкевича. Мер Тернополя нервово курить осторонь.  🇪🇺Поки Миколаїв тримає удар, родина мера будує «запасний аеродром» у Європі. Дружина Сєнкевича облаштувалася в ЄС: відкриває бізнеси, скуповує нерухомість і насолоджується життям за рахунок миколаївців. Згодом ви про все дізнаєтеся в подробицях.</t>
  </si>
  <si>
    <t>...що з людьми відбувається ; це взагалі люди ?...роблять вибір в інший бік та зупинки не має...</t>
  </si>
  <si>
    <t>Лена</t>
  </si>
  <si>
    <t>Пліч-о-пліч | Новини Миколаївщини і України</t>
  </si>
  <si>
    <t>20:36</t>
  </si>
  <si>
    <t>Don Pedro Don Pedro</t>
  </si>
  <si>
    <t>Костопіль</t>
  </si>
  <si>
    <t>20:33</t>
  </si>
  <si>
    <t>Светик</t>
  </si>
  <si>
    <t>lusitaevans</t>
  </si>
  <si>
    <t>20:32</t>
  </si>
  <si>
    <t>Донька мера Тернополя придбала елітну нерухомість у США: суми вражають https://www.stopcor</t>
  </si>
  <si>
    <t>Ишо дали,що вже сидять,нуда вси свои.</t>
  </si>
  <si>
    <t>Leonid Rez</t>
  </si>
  <si>
    <t>leonid.rez.3</t>
  </si>
  <si>
    <t>Interceptor.</t>
  </si>
  <si>
    <t>Hawk71Hawk</t>
  </si>
  <si>
    <t>20:27</t>
  </si>
  <si>
    <t>Tetiana Kram 🇺🇦</t>
  </si>
  <si>
    <t>tetiana_kram</t>
  </si>
  <si>
    <t>Мера на війну!!</t>
  </si>
  <si>
    <t>Люда Тивонюк</t>
  </si>
  <si>
    <t>20:26</t>
  </si>
  <si>
    <t>Сім'я,  яка крала кошти.</t>
  </si>
  <si>
    <t>20:20</t>
  </si>
  <si>
    <t>20:14</t>
  </si>
  <si>
    <t>Дніпросонячний</t>
  </si>
  <si>
    <t>bdy0771</t>
  </si>
  <si>
    <t>20:04</t>
  </si>
  <si>
    <t>Олександр</t>
  </si>
  <si>
    <t>shatov221</t>
  </si>
  <si>
    <t>20:02</t>
  </si>
  <si>
    <t>Ігор Фридель</t>
  </si>
  <si>
    <t>Oleg Bogdanovich</t>
  </si>
  <si>
    <t>olegiv08avg</t>
  </si>
  <si>
    <t>19:56</t>
  </si>
  <si>
    <t>Донька мера Тернополя Сергія Надала придбала нерухомість у США майже за 2 млн доларів</t>
  </si>
  <si>
    <t>Донька міського голови Тернополя Сергія Надала Анастасія Надал опинилася в центрі уваги після появи інформації про придбання дорогої нерухомості у США. Йдеться про віллу в Маямі вартістю майже 2 мільйони доларів, розташовану в одному з престижних районів міста.
За наявними даними, нерухомість оформлена на чоловіка Анастасії Надал — Рубена Родрігеса. Водночас у відкритих джерелах відсутня інформація про офіційні доходи, які могли б пояснити можливість придбання такого об’єкта нерухомості.
Це не перша інвестиція родини у нерухомість у США. Раніше Анастасія Надал стала власницею апартаментів у Маямі вартістю близько 380 тисяч доларів. І в цьому випадку також не простежується публічно підтверджений фінансовий ресурс для здійснення покупки.
На цьому тлі увагу привертає кримінальне провадження, відкрите НАБУ та САП щодо можливого незаконного збагачення мера Тернополя Сергія Надала. За інформацією джерел, розслідування тривалий час не демонструє активного процесуального руху та фактично перебуває у підвішеному стані.</t>
  </si>
  <si>
    <t>morkovka.org</t>
  </si>
  <si>
    <t>ЗМІ</t>
  </si>
  <si>
    <t>19:54</t>
  </si>
  <si>
    <t>Анастасія Надал, донька міського голови Тернополя Сергія Надала, придбала елітну нерухомість у США – віллу в Маямі, вартістю близько 2 млн доларів. 
Про це повідомляє «Викривач».
Формально об’єкт зареєстрований на її чоловіка Рубена Родрігеса, однак у відкритих джерелах відсутня інформація про доходи, які могли б пояснити таку покупку.
#новини #тернопіль #мер #maiami #нерухомість
https://www.instagram.com/p/DVRc6UTCIe3/?igsh=MWY2enc0Zmd2eWxhMQ%3D%3D</t>
  </si>
  <si>
    <t>Іванка Мороз</t>
  </si>
  <si>
    <t>Нідерланди</t>
  </si>
  <si>
    <t>Северная Голландия</t>
  </si>
  <si>
    <t>Зандам</t>
  </si>
  <si>
    <t>19:50</t>
  </si>
  <si>
    <t>nenka.info</t>
  </si>
  <si>
    <t>Mike C.🇺🇦🔱🇨🇵</t>
  </si>
  <si>
    <t>MGK0501</t>
  </si>
  <si>
    <t>19:49</t>
  </si>
  <si>
    <t>Донька мера Тернополя Сергія Надала придбала віллу майже за 2 млн доларів в престижному районі Маямі Coral Gables.  Нерухомість оформлена на її чоловіка Рубена Родрігеса, офіційних доходів для такої покупки у нього не зафіксовано. Крім того, вона купила апартаменти у Маямі за 380 тисяч доларів без підтверджених джерел коштів. Раніше НАБУ та САП відкривали провадження щодо можливого незаконного збагачення Сергія Надала.</t>
  </si>
  <si>
    <t>Мммм</t>
  </si>
  <si>
    <t>Chisatylo</t>
  </si>
  <si>
    <t>chiisato_nishikigi</t>
  </si>
  <si>
    <t>Орден Діда Майка 🇺🇦</t>
  </si>
  <si>
    <t>Хай ділиться грошима</t>
  </si>
  <si>
    <t>Леді Рен</t>
  </si>
  <si>
    <t>ShioSan</t>
  </si>
  <si>
    <t>19:47</t>
  </si>
  <si>
    <t>Craftович</t>
  </si>
  <si>
    <t>Lezerman</t>
  </si>
  <si>
    <t>19:35</t>
  </si>
  <si>
    <t>Людмила Костецька</t>
  </si>
  <si>
    <t>danlg71</t>
  </si>
  <si>
    <t>🇺🇦 Andrew 🇺🇦</t>
  </si>
  <si>
    <t>Drakokus</t>
  </si>
  <si>
    <t>19:34</t>
  </si>
  <si>
    <t>Marta Marhituch</t>
  </si>
  <si>
    <t>Ірина за ЄС</t>
  </si>
  <si>
    <t>BSNcPLbE2g6z3lA</t>
  </si>
  <si>
    <t>19:22</t>
  </si>
  <si>
    <t>Оlena Konovalova</t>
  </si>
  <si>
    <t>ElenaKo72602415</t>
  </si>
  <si>
    <t>19:19</t>
  </si>
  <si>
    <t>sergio</t>
  </si>
  <si>
    <t>DSergio77</t>
  </si>
  <si>
    <t>19:15</t>
  </si>
  <si>
    <t>Владимир Сл</t>
  </si>
  <si>
    <t>VladimirSl3</t>
  </si>
  <si>
    <t>19:14</t>
  </si>
  <si>
    <t>Переслано ТГ канал 
Донька мера Тернополя Надала придбала віллу майже за 2 млн доларів в престижному районі Маямі 
Нерухомість оформлена на її чоловіка Рубена Родрігеса, офіційних доходів для такої покупки у нього немає
НАБУ вже відкривало провадження щодо незаконного збагачення Сергія Надала
Святі патрійоти, мать їх за ногу</t>
  </si>
  <si>
    <t>Nevegda Vasiliy</t>
  </si>
  <si>
    <t>NEVEGDA.Vasiliy</t>
  </si>
  <si>
    <t>19:09</t>
  </si>
  <si>
    <t>Олександр Василенко</t>
  </si>
  <si>
    <t>vollok01</t>
  </si>
  <si>
    <t>19:07</t>
  </si>
  <si>
    <t>@nab_ukr ???
Анастасія Надал — дочка мера Тернополя Сергія Надала — стала власницею розкішної вілли в одному з найпрестижніших районів Майамі Coral Gables вартістю майже 2 млн доларів, оформленої на її чоловіка Рубена Родрігеса, у якого не зафіксовано офіційних доходів, що дозволили б придбати такий об'єкт, — а кримінальне провадження НАБУ та САП щодо цих покупок фактично зникло з публічного поля.
https://t.co/ObdN4MA3xC
«Американська мрія» за мільйони: як донька мера Тернополя Надала оселилася на елітній віллі в Майамі
Анастасія Надал — дочка мера Тернополя Сергія Надала — стала власницею розкішної вілли в одному з найпрестижніших районів Майамі Coral Gables вартістю майже 2 млн доларів, оформленої на її чоловіка...</t>
  </si>
  <si>
    <t>Дядько Василь</t>
  </si>
  <si>
    <t>Vasadada11</t>
  </si>
  <si>
    <t>19:05</t>
  </si>
  <si>
    <t>Українська балістика рве шаблони.
FirePoint показали відео перших пусків
FPC. Це треба бачити. Залужний король
рейтингів довіри випереджає усіх.
Інсайди кажуть, кандидатуру залізного
генерала на президентське крісло вже
схвалено Трампом. Спортивний скандал під
куполом Ради Безугла наїхала на Усика і
Лумаченка, назвавши їх ватниками, а
Скороход обізвала Гераскевича
Шлимоносцем прямо під час його виступу.
Розкішне життя доньки мера Тернополя.
Анастасія Надал купила віллу у Майамі
майже за 2 млн доларів. Росія не хоче
продовжувати мирні переговори, поки
Україна не віддасть їй увесь Донбас.
Зеленський анонсує зміни у дипломатії.
Вже зустрівся із Клімкіним. Штати та
Ізраїль почали люту війну проти Ірану.
Іран запустив ракети по американським
базам у відповідь. Єдиний у Росії завод
обтоволокна зупинився після атаки
українських дронів. Ринок одразу
перехопив Китай і тепер заробляє
мільйони на дефіциті у Росії. Привіт.
Мене звуть Анастасія Дмитровська і я
розкажу вам, що відбувається із Україною
сьогодні. Але перед цим підпишіться на
наш канал, аби ми з вами не губились на
просторах Ютубу. Українська компанія
FirePoint провела льотні випробування
нової оперативно-тактичної балістичної
ракети FPC. Відео показав співвласник і
головний конструктор компанії Денис
Штілерман. Із цікавого ця ракета під час
польоту коригує курс, тобто це керована
балістика. Ще одна особливість -
запуска. І замість складної багатовісної
пускової установки використовується
більш проста, дешева і мобільніша. Ця
ракета розрахована на ураження цілей на
середніх дистанціях. Ні дальність нової
балістичної ракети FP7 до 200 км. Бойова
частина 150 кг, а час польоту до 250
секунд. Компанія вже будує власне
виробництво і новий завод через питання
безпеки зводять з за кордоном. Також
FirePoint анонсувала ще одну більш
потужнішу ракету FP9. Її заявлені
характеристики значно серйозніші.
Дальність до 855
км. Бойова частина 800 кг. Тобто йдеться
про формування цілої лінійки української
балістики від тактичного рівня до ракет
великої дальності. Військовим у нашій
країні довіряють більше за усіх. І так
показало нове опитування Іпсос. За лютий
2026 Валерій Залужний очолив рейтинг
довіри українців. У нього 63%, на другій
сходинці, ви не повірите, Олександр
Усик- 56%,
третє місце у Кирила Буданова 55%.
А от замикає четвірку президент
Володимир Зеленський, у нього 49%.
Водночас президент має і найвищий
показник недовіри серед топ4 38%.
Також цікаві показники щодо певних
аспектів у політичному житті країни.
Так, 45% українців не вірять, що кадрові
зміни у уряді покращать ситуацію. 32%
вірять, а 24 ще не визначилися. Тож
дослідники виявили важливу тенденцію.
Українці значно більше схильні довіряти
людям, які асоціюються із обороною
країни, ніж професійним політикам.
Найнижчі показники зафіксовані у Юлії
Тимошенко 14% довіри, та Юрія Бойка 8%
довіри. У звіті вказано, що ці діячі
стикаються із майже незворотним
негативним ставленням через надзвичайно
високий рівень недовіри, який становить
70% та 62% відповідно. А тепер пікантна
деталь. Не у мережі активно шириться
інформація, буцімто Валерій Залужний
повідомив своєму оточенню, що Дональд
Трамп схвалив його кандидатуру на
президентські вибори. Тут варто
наголосити, це може бути черговим
вкидом, але зважаючи на останні заяви
Залізного генерала щодо президента
Зеленського, уже очевидно, що політичні
амбіції у Залужного певно таки є. А ви
підтримуєте Валерія Залужного як
кандидата у президенти? Тим часом
Україна продовжує боротьбу за захист
свого неба. Наші військові вже знищили
межрежу, яку шахеди використовували на
півночі. За словами Михайла Федорова, це
суттєво посилило оборону Києва та
центральної частини країни. І це лише
частина ширшої роботи, яку розгорнули
сили оборони для посилення повітряного
щита. Ефективність української ППО
зростає і з кожним днем. І про це
свідчить статистика збиття повітряних
ціле, які державаагресор запускає в
українське небо. Тому сприяють як нове
озброєння, так і реформа протиповітряних
сил Збройних сил України. Далі факти.
У небі Ан-28. На борту лазерне наведення
та кулемет мініган. Саме так зараз
українське ППО бореться проти російських
шахедів. І такі нововведення дають свої
плоди.
Вранці в четвер агресор завдав чергового
комбінованого удару по Україні,
застосотувавши 420 шахедів і 32 ракети.
Тільки 46 шахедів і п'ять ракет досягли
своєї мети, решта було збито чи
придушено. Високий відсоток збиття та
відмінну роботу ППО відзначив і
президент України.
&gt;&gt; Більше 30 російських ракет збиті.
Більшість з них ішли саме на енергетику.
Справді вдалося захистити дуже важливі
об'єкти. Щодо шахедів результати теж є.
Щоночі саме так. Щоночі, коли є
достатній боєзапас у наших ППО, коли
партнери виконують те, про що ми
домовляємось, у нас є можливість саме
таких результатів і спиття.
&gt;&gt; Українське ППО збило всі протикарабельні
та крилаті ракети. дві ракети Циркон та
24 ракети Х-101. Останні росіяни
запускають на Україну фактично з
конвеєра. Ракети номенклатури-101,
вони як ті пиріжки вилітають з
російської печі вже власне із колес
починають їх застосовувати. Ми в січні
бачили застосування ракет, що вийшли з
конвеєра. Саме в січні 26-го.
РФ почали застосовувати для обстрілів
України ракети 2026 року виробництва. І
це не від хорошого життя. Окупантам
потрібно погасити українську енергетику
за будь-яку ціну, а завдяки ефективній
роботі ППО результату немає. Крім
своєчасного постачання ракет ПАК-3 від
наших партнерів, новий міністр оборони
Михайло Федоров та його команда
впровадили систему After Action Review,
яка аналізує кожну російську атаку та
дозволяє приймати рішення для посилення
протиповітряної оборони.
Нашим головним фокусом першого місяця
стала ППО. Як швидка реакція на
інтенсивні обстріли росіян, нашим
завданням було посилити систему ППО. Для
цього ми впровадили систему After Action
Review. Михайло Федоров, міністр оборони
України.
За кілька останніх тижнів Повітряні сили
ЗСУ стали краще діяти. Деякі речі
вдалося перебудувати в організації
оборони проти масованих російських атак.
І ці дії дали результат суттєве
зростання відсотка збиття ворожих
крилатих ракет та БПЛА, що свідчить про
підвищення ефективності ППО.
Очевидно, що after ешрев'ю, яке
проводить сьогодні команда Федорова з
повітряними силами, з силами малого ППО,
абсолютно несуть корисне навантаження на
ті зміни, які потім при наступних
масованих атаках ми використовуємо для
відбиття а ворожих дронів і дронів, і
ракет. Тому насправді я вбачаю те, що є
певні позитивні зміни, які відбулися.
Е-е, вони повпливали на якість, е,
сьогодні роботи сил ППО.
&gt;&gt; У Міністерстві оборони заявили, що це
лише початок системних змін у роботі ППО
і не лише. Плануються зміни у роботі
перехоплювачів мобільних вогневих груп
та компонента малої ППУ, а це означає,
що масовані атаки РФ будуть менш
результативними.
&gt;&gt; Більше перемовин не буде. Невидання
Blлумберг із посиланням на анонімні
джерела, близькі до переговорного
процесу, пише про те, що російські
посадовці дійшли висновку, що немає
сенсу продовжувати нинішні мирні
перемовини за посередництва США, якщо
Україна принципово відмовляється віддати
Росії контроль над рештою Донецької
області. Так, у матеріалі зазначають, що
Москва висуває жорстку умову. Для
підписання хоча б рамкового документа
про мир Україна має вивести свої війська
із тих територій Донеччини, які її сили
утримують попри багаторічні спроби РФ їх
захопити. Якщо Київ на це не піде,
Росія, за словами джерел, швидше за все
просто залишить стіл переговорів. Утім,
поки росіяни марять нашим Донбасом,
артилерія четвертої важкої мехбригади
спопилила російську тосол Ципк разом із
екіпажем під час перезарядки.
Також наші дрони уразили панцарс1 в
околицях Маріуполя на території
Азовсталі.
У той же час президент Зеленський
заявив, що будуть зміни у дипломатичному
корпусі і зокрема планується призначення
нових українських представників до
країн, які зараз ще не мають свободи або
перебувають під російським впливом.
Український лідер натякнув, що на одну
із посад буде призначено або колишнього
очільника МЗС Павла Клімкіна, або ж
людину із його команди. Фіцо і Орбане.
Ці два прізвища в українців та що там у
європейців асоціюється із російським
диктатором Путіним. Так, уже вони
вправно йому підігрують. Але є цікаві
новини щодо цих двох персонажів.
Зеленський провів розмову із прем'єром
Словаччини Робертом Фіцо і запрошує його
в Україну. І така розмова між лідерами
відбувається на тлі нафтопроводу дружби,
внаслідок чого Словаччина та Угорщина не
отримують російської нафти. Будапешт і
Братислава вимагали від Києва ремонту
трубопроводу після удару російського
дрону. Сам Фіцо на зустріч погодився,
але із одним нюансом. Він додав, що
волів би зустрітися на території однієї
із країн ЄС, де часто буває Зеленський.
Інший же проросійський політик, прем'єр
Угорщини Віктор Орбан, звинуватив
Зеленського у брехні. Він заявив, що не
вірить словам Володимира Зеленського про
технічні проблеми, які вплинули на
постачання нафти. А Будапешт і
Братислава із цим не погоджується і
зробив просто ганебну заяву. Цитую:
"Якщо нам щось говорить українець, ми
перепровіряємо це тричі. Як мінімум, це
схоже на дискримінацію через
національність". Але що очікувати від
прихильника Путіна? І тим не менше
продовжуємо далі по темі. Орбан і Фіцо
вигадали комісію для дружби. Вони
заявили про створення так званої слідчої
комісії для перевірки стану нафтопроводу
Дружба. І він також закликав президента
Володимира Зеленського надати комісії
доступ до об'єкта.
Схоже, що світ остаточно зійшов із
розуму. Сьогодні на близькому сході
спалахнула нова війна. Ситуація
змінюється буквально щогодини. Штати
разом із Ізраїлем почали масштабну
операцію проти Ірану. Події
розгортаються просто зараз. Тому
коротко, що відомо на цю хвилину. Зранку
Ізраїль наніс превентивні удари по
Ірану. Операція має назву Рефлева. Про
це офіційно повідомив офіс прем'єра
Беньяміна Нетаньягу. Україні
запроваджено надзвичайний стан.
Президент США Дональд Трамп підтвердив,
що американські сили ведуть масштабну
бойову операцію. Американське
Міністерство війни також оприлюднило
назву своїй кампанії проти Ірану "Епічна
людь".
Наша мета захистити американський народ
шляхом усунення серйозних загроз з боку
іранського режиму, злісної групи дуже
жорстких, жахливих людей.
&gt;&gt; У Тегерані та інших містах Ірану чути
потужні вибухи. Над столицею
підіймаються дими. Під ударами
військові, урядові та оборонні об'єкти.
Над містом помічено американську ракету
Томагавк.
Операцію Ізраїлю та США прокоментував
наш глава МЗС Андрій Себіга. Він заявив,
що Україна підтримує народ Ірану, але не
підтримує режим, який десятиліттями
дестабілізовував регіон та підтримує та
фінансує угруповування, які несуть
дестабілізацію у інші країни. Трамп у
своєму ж зверненні також сказав, що мета
знищити іранські ракети та флот не
допустити ядерної зброї та усунути
загрози для штатів і союзників. Він
закликав іранців взяти владу у свої
руки. І після завершення операції Іран
анонсував нищівну та сильну відповідь і
почав атаку на американські військові
об'єкти на близькому сході.
&gt;&gt; Розкішна віла у престижному районі
Майамі майже за 2 млн доларів. І ця
розкіш тепер належить Анастасії. Не
донці мера Тернополя Сергія Надала. І,
звісно ж, нерухомість оформлена на її
чоловіка Рубена Родрігеса. Цікаво те, що
офіційних доходів для такої покупки у
нього не зафіксовано, і це не перший
об'єкт нерухомості родини у Флориді.
Раніше Анастасія Надал придбала
апартаменти у Майамі за 380 000 до$, які
і у випадку із вілою зрозумілого
фінансового бекграунду щодо джерел
коштів у відкритому доступі немає. На
цьому тлі Національне антикорупційне
бюро України та Спеціалізована
антикорупційна прокуратура відкрили
кримінальне провадження щодо можливого
незаконного збагачення її батька,
чиновника Сергія Надала. Проте
розслідування несподівано втратило
активність і наразі фактично перебуває
без помітного прогресу. Що то за випуск,
якщо ми не згадаємо про черговий скандал
в Україні? Так от, до вашої уваги нова
історія. Пані Мар'яна Безугле наїхала на
двох відомих боксерів Олександра Усика і
Василя Лумаченка. А все тому, що ті
підтримали одіозного члена МОК Сергія
Бубку. Але якщо ви трохи пропустили, то
почнуть цю історію із самого початку.
Ви, мабуть, добре пам'ятаєте нашого
спортсмена Владислава Граскевича, якого
відсторонили від Олімпійських ігор через
шолом із портретами загиблих від
російської війни спортсменів.
Напередодні він виступав у Верховній
Раді, де закликав позбавити звання Героя
України Сергія Бубко.
&gt;&gt; В нас є декілька представників
від України, які знаходяться в МОК. І
зараз я говорю про пана Бубку, який досі
носить звання Героя України. І насправді
мені соромно, що він носить це звання.
Він не має його носити.
&gt;&gt; Відомо, що у розслідуванні бігусінфо
було розкрито факти нібито комерційної
співпраці братів Бубок із росіянами у
2023 році. щодо Сергія Бубки відкрили
кримінальне провадження за звинуваченням
у пособництві державіагресору. Після
інформації від журналістів Сергій Бобка
записав звернення, де заявив, що немає
стосунку до жодного бізнесу на
окупованій території. Але після цієї
заяви Грицкевича за Бубку уступилися
Усики, захопившись своїм знайомством із
багаторазовим рекордсменом світу і
зробивши акцент на його досягненнях. І
також підтримав Бубку і любитель
руського міра Василь Ломаченко. І ось
тепер нарешті в історію вступає Мар'яна
Безугло. І вона заявила, що попри повагу
до Усика, як до спортсмена, вважає його
людину із проросійськими поглядами. І,
за її словами, боксер ватником був,
ватником і залишився ій досі є
прихожанином московської церкви. І також
Мар'яна назвала ватним чортом Іломаченка
після його поста соцмережах, де він
захопився Бубкою. Завіса. А ось як
прокоментувала виступ Герацкевича у
парламенті нардепка Ганна Скорохот, який
НАБУ оголосило про підозру у вимаганні
хабаря.
&gt;&gt; Сьогодні він з трибуни Верховної Ради
говорив про те, що Сергія Бубку треба
позбавити звання Героя України. Чи має
він взагалі на це право? людина, яка
нічого не зробила для України, яка не
принесла для України жодних перемог і
яка взагалі по великому рахунку замість
того, щоб вийти, е, вибороти медаль, а
потім взяти цей шолом пам'яті, я
абсолютно жодним чином не принижую
тієї
великої жертви, яку понесли наші
спортсмени, які полягли за незалеж
України. Але от чи неправильніше було б
вийти, виступити, виборати медалі, а
потім вийти на прес-конференцію з цим
шоломом або вийти на п'єдестал і
отримати нагороду в цьому шоломі?
&gt;&gt; А що ви про усе це думаєте? Коментуйте,
не стримуйтеся.
Ледь не бусифікували, але депутатський
мандат допоміг. Просто у центрі Дніпра
група у масках погрожувала народному
депутату. Роман Капттеєлов заявив, що
увечері 27 лютого його зупинили невідомі
особи у балаклавах, які, за його
словами, поводилися агресивно та
погрожували застосуванням сили. Він
стверджує, що до у нього під'їхав
автобус, із якого вибігли кілька
чоловіків із закритими обличчями і на
вимогу викликати поліцейського один із
них називався правоохоронцем. Однак
решта осіб не представилися та не
показали документів. За словами Каптєва,
вони відомі погрожували йому фізичною
розправою та демонстрували пістолет.
Депутат наголосив, що вважає подібні
випадки не поодинокими і такими, що
повторюються у місті. І можливо так він
натякає на мобілізацію ТЦК просто на
вулицях. Він висловив обурення методами
дії людей у масках і закликав
компетентні органи розібратися у
ситуації. Про подальший розвиток подій
або реакцію правоохоронців на момент
публікації депутат не повідомляв.
Нагадаю, що діяльність цього нардепа
неодноразово ставала предметом
журналістських розслідувань і публічних
дискусій. Зокрема, журналісти проекту
Схеми повідомляли про нерухомість у
Москві та доходи його дружини,
громадянки РФ, яка працює у російській
державній установі, що за їхніми даними
не були відображені у декларації. Також
у медіа звертали увагу на збіг його
закордонних поїздок із подорожами
дружини із Росії до Туреччини під час
повномасштабної війни.
У 25му році правоохоронні органи
проводили у депутата обшуки у межах
провадження щодо можливого
недостовірного декларування. А от у
парламенті Каптєлов підтримував низку
законодавчих ініціатив, які критики
розцінювали як такі, що можуть послабити
незалежність антикорупційних органів,
зокрема НАБУ та САП. Крім того, його
позицій з окремих політичних питань не
раз викликала резонанс у суспільстві.
Війна б'є по економіці нашої країни і,
на жаль, сприяє покиданню ринку деяких
вагомих гравців. І найбільший
медкомбінат Arcelor Meitel зупиняє свій
завод в Україні. У компанії зазначили,
що закриття алмазе обувмовлене
економічними причинами і виробництво
стало невигідним. Так і з початку війни
вартість електроенергії для
промисловості зройсла майже втричі. У
той же час компанія повідомляє про
погіршення показників у січні 26го року
через брак електроенергії порівняно із
листопадом. Наприклад, із виробництва
сталі на 40% рішення про припинення
виробничої діяльності заводу набирає
чинності через три місяці. Варто
зауважити, що Рослор Meл Кривий Ріг є
найбільшим іноземним бізнесом в Україні,
а також найбільшим гірничо-металургійним
підприємством країни. Комбінат охоплює
повний виробничій цикл від видобутку
залізняку до виробництва човуну, сталі,
прокату та коксу.
У Росії вперше із початку
повномасштабної війни одночасно
оголосили ракетну небезпеку одразу в 13
регіонах, від Курська до Уралу. Про це
повідомив керівник Центру протидій
дезінформації Андрій Коваленко.
&gt;&gt; На Росії в день, 27 лютого, вперше з
початку війни, ракетну небезпеку
оголошували одночасно щонайменше в 13
регіонах, більшість з яких не є
прикордонними. У Краснодарському краї
після падіння уламків безпілотника
спалахнула пожежа на міні НПЗ
Албашнефть. Паралельно єдиний у Росії
завод із виробництва оптоволокна
зупинився майже на рік після удару
українських дронів. Водночас на
відновлення Водкінського заводу підуть
місяці. Детальніше про те, як Збройні
сили України б'ють по російському ВПК,
далі у сюжеті.
Єдиний у Росії завод обтоволокна
зупинився майже на рік після удару
українських дронів. Навесні 25-го року
серія точних ударів ЗСУ вивела
підприємство із ладу. І з того часу
завод так і не запустив свою роботу.
&gt;&gt; Виробничі потужності підприємства
становили приблизно 4 млн км оптоволокна
на рік, з якого два десятки російських
кабельних заводів виготовляли
оптоволоконні кабелі. Тепер вони
повністю залежать від поставок волокна з
Китаю.
&gt;&gt; Тим часом Китай становищем Росії
користується і з початку 26 року ціни
для російських покупців злетіли у 2,5
рази. Наприклад, популярне волокно J652D
на початку 25-го коштувало 16 юанів за
кілометр. До кінця року 25, а у січні
26го вже 40 юанів. А чому так різко
подорожчало? Та все просто, тому що і з
боку Росії на це величезний попит.
Тільки у 25му році недоімперія скупила
майже 60 млн кілометрів оптоволокна, а
це, на хвилиночку, 10,5%
від усього світового виробництва. І для
розуміння раніше було не більше 1%.
&gt;&gt; Таке сильне зростання ціни пояснюється
попитом, що різко виріс. Зокрема, Росія
та Україна почали використовувати
оптоволоконні кабелі для дронів, які
можна запустити на відстань до 50 км. Це
робить безпілотники невразливими для
радіоелектронних засобів придушення.
&gt;&gt; Китайські постачальники перейшли на
стовідсоткову предоплату і обсяги під
питанням, а російські кабельні заводи
вже не можуть тримати старі ціни. У
результаті подорожчає усе: оренда
чорного волокна, прокладання нових
магістралей і послуги зв'язку. Головний
ризик сьогодні- навіть не ціна, а те, чи
вистачить фізично волокна у потрібних
обсягах. Напруженість на ринку, за
прогнозами експертів, протримується
щонайменше до 2027 року. Загалом один
удар українських дронів і Росія
залишилися без свого волокна, платить в
три дороги китайцям і ризикує дефіцитом
для дронів та інтернету. І це лише
початок, бо Україна системно б'є по
військовій машині Путіна просто у
глибокому тилу.
Тільки за останні два тижні ЗСУ успішно
атакували одразу кілька заводів. які
працюють на російську військову
промисловість. У Саранську дрони
атакували завод Електровипрямляч.
У Дорогобожі українські дрони знищили
хімічний завод, де виготовляли аміачну
селітру для вибухівки.
А в Удмурті і Фламінго атакували
Воткінський завод, де пошкодили
виробничу лінію ракети Іскандер М.
Удар по Воткінському заводу виявився
вкрай болючим. Зокрема, саме після цієї
атаки у Кремлі заговорили про те, що
Путін хоче ясності щодо захисту
російського ВПК.
&gt;&gt; Ми маємо велику країну. Багато об'єктів
потрібно захистити, але не може бути
так, що куди вони не залітають, там і
потрапляють, завдають пошкодження. Чи не
єдине місце, яке ми поки що можемо
захистити - це Москва. Але теж не все
так гладко", - каже джерело у Кремлі.
Подейкують, президент хоче ясності, коли
можна буде захистити всі необхідні
підприємства в російському тилу.
&gt;&gt; І питання щодо точних ударів Збройних
Сил України, слід визнати, досить
обґрунтовані.
&gt;&gt; Мы, когда пишем полётное задание, а каж
каж даже каж каждый даже беспилотник, не
говоря же про ракету, на него
приписывается полётное задание, то есть
как он должен лететь, по какому
маршруту. И мы выбираем такой маршрут
пролёта и такое время, когда он может
двигаться по зонам
наименьшей плотности российских
проти систем противоздушных обороны.
Возможно, там идёт даже какая-то
договорённость с какими-то там
российскими ээ военнослужащими там, не
знаю, за ящик водки, что они как бы не
заметили или были не готовы или просто
загуляли. Не падає ефективність ударів
Збройних сил України по російському ВПК
через так званий ефект несподіванки.
&gt;&gt; А завод он как стал, так и стоит. И если
у нас есть возможность и есть чем его
это военный завод или
нефтоперерабатывающий комплекс
нефтесберегающих, то туда идёт атака. И
мы прописываем. И каждый раз, что
особенно приятно, это является
неожиданностью россиян.
Хоча по ряду об'єктів російського ВПК з
ІСУ б'ють по кілька разів, і тут вже
важко виправдати усе ефектом
несподіванки.
&gt;&gt; Ну и у нас же есть про это
аккуратно говорил Буданов ещё, когда был
начальником главного управления
разведки,
а не работал в администра в офисе
президента. Он говорил, что мы знаем,
как они ремонтируют, мы всё это видим. И
когда дело подходит к концу и уже они
готовы перерезать ленточку по открытию
отремонтированного предприятия, мы
наносим следующий удар.
Отже, питання російської влади, яка не
може зрозуміти, чому за кілька років
системних атак Росія не придумала, як
цим атакам протистояти, досить логічні.
Тому тут, як то кажуть самі росіяни, не
все так однозначно, оскільки до кінця
неясно, протистояти атакам не можуть чи
із якихось причин не хочуть.
Поставте лайк цьому відео, якщо вам
подобаються наші новини. Для нас це дуже
важливо і нагадую про важливість
підписатися на наш канал Україна
сьогодні, аби ми з вами не губились на
просторах Ютубу. Побачимось.
Yeah.</t>
  </si>
  <si>
    <t>Субтитри,Відео</t>
  </si>
  <si>
    <t>УКРАЇНА СЬОГОДНІ</t>
  </si>
  <si>
    <t>ukrainetodaytv</t>
  </si>
  <si>
    <t>youtube.com</t>
  </si>
  <si>
    <t>⚡️МЕГАЗБРОЯ ВІД ЗСУ! ЦЕ КРАЩЕ НІЖ ТОМАГАВК! ЗАЛУЖНИЙ НА ВИБОРАХ: ВЖЕ УХВАЛИЛИ?! | УКРАЇНА СЬОГОДНІ</t>
  </si>
  <si>
    <t>Нова балістична ракета FP-7 вже на випробуваннях, Залужний — фаворит рейтингів і можливий кандидат у президенти! Москва висуває ультиматуми щодо Донбасу, Орбан і Фіцо тиснуть через “Дружбу”. США та Ізраїль б’ють по Ірану — Тегеран відповідає ракетами! Розкішна вілла в Маямі, гучні образи в Раді, заяви про “бусифікацію”. «АрселорМіттал» зупиняє гіганта, а в росії — промислова криза після ударів дронів. Деталі, факти й наслідки — у випуску!
00:00 АНОНС
01:13 Україна рве шаблони: Fire Point показали відео випробувань нової балістичної ракети FP-7.
02:16 Залужний - лідер рейтингів довіри: його кандидатуру на президентські вибори нібито вже схвалив Трамп.
04:00 Захист неба триває: українські військові знищили mesh-мережу, яку «шахеди» використовували на півночі.
08:18 Москва висуває новий ультиматум: не хоче продовжувати переговори без передачі їй усього Донбасу. Зеленський анонсував зміни в дипломатії.
09:46 Орбан і Фіцо вимагають доступу до “Дружби”. Прем’єри створили “комісію” і звернулися до Зеленського.
11:11 США та Ізраїль атакують Іран. У відповідь Тегеран запустив ракети по американських базах.
13:02 Розкіш у Маямі: донька мера Тернополя Анастасія Надал придбала віллу майже за $2 млн.
13:54 Скандал у Раді: Безугла назвала Усика й Ломаченка «ватниками», а Скороход обізвала Гераскевича «шлемоносцем».
16:57 Депутат Каптєлов заявив про спробу “бусифікації” та погрози фізичною розправою.
18:50 Промисловий удар: «АрселорМіттал» зупиняє свій найбільший металургійний завод в Україні.
19:46 Криза у росії: єдиний завод оптоволокна зупинився після удару дронів. Китай підняв ціни та заробляє на російському дефіциті.
✅ Дивіться серіали українською на каналі "УКРАЇНА СЬОГОДНІ. СЕРІАЛИ": https://www.youtube.com/channel/UCl_NPP1kqKLRLvG9w5ESn_A 
✅ А на вечір у нас є для вас особлива підбірка захопливого кіно: https://www.youtube.com/@UkraineTodayCinema
Україна Сьогодні у соцмережах:
Facebook: https://www.facebook.com/ukrainetodaytv24/
YouTube: https://www.youtube.com/@UKRAINETODAYTV
Instagram: https://www.instagram.com/ukrainetoday.tv/
Tik-Tok: https://www.tiktok.com/@ukrainetoday.tv
Telegram: https://t.me/ukrainetodaytv
Даний youtube-канал "УКРАЇНА СЬОГОДНІ", призначений для осіб старше 21 (двадцяти одного) року.
#українасьогодні #війна #передова</t>
  </si>
  <si>
    <t>Текст,Відео</t>
  </si>
  <si>
    <t>Olga Oleshka</t>
  </si>
  <si>
    <t>oleshka_olga</t>
  </si>
  <si>
    <t>Comaha</t>
  </si>
  <si>
    <t>Comaha6</t>
  </si>
  <si>
    <t>19:01</t>
  </si>
  <si>
    <t>адвокат_Одеса (25+%)</t>
  </si>
  <si>
    <t>lawyer_Odesa</t>
  </si>
  <si>
    <t>18:51</t>
  </si>
  <si>
    <t>yabadabadu</t>
  </si>
  <si>
    <t>Ivan_Andreiev</t>
  </si>
  <si>
    <t>18:49</t>
  </si>
  <si>
    <t>Все повернути на ЗСУ.  Роботяги!</t>
  </si>
  <si>
    <t>Maria Shyshko</t>
  </si>
  <si>
    <t>18:47</t>
  </si>
  <si>
    <t>русні пизда!</t>
  </si>
  <si>
    <t>coldreamsua</t>
  </si>
  <si>
    <t>Вже б повдавлювалися кінець кінцем</t>
  </si>
  <si>
    <t>Іра Балух</t>
  </si>
  <si>
    <t>Andrii 🇺🇦</t>
  </si>
  <si>
    <t>andriiheadman</t>
  </si>
  <si>
    <t>18:45</t>
  </si>
  <si>
    <t>Та яке провадження йому діди прадіди лишили маєтки😂</t>
  </si>
  <si>
    <t>TZ</t>
  </si>
  <si>
    <t>t1z234</t>
  </si>
  <si>
    <t>18:44</t>
  </si>
  <si>
    <t>ShAfiR</t>
  </si>
  <si>
    <t>shafir3035</t>
  </si>
  <si>
    <t>18:43</t>
  </si>
  <si>
    <t>Зарии Яя</t>
  </si>
  <si>
    <t>zariiyaya</t>
  </si>
  <si>
    <t>18:41</t>
  </si>
  <si>
    <t>Kostiantyn 🇺🇦</t>
  </si>
  <si>
    <t>kost_25</t>
  </si>
  <si>
    <t>18:39</t>
  </si>
  <si>
    <t>І то під час війни</t>
  </si>
  <si>
    <t>Марія Романишин</t>
  </si>
  <si>
    <t>18:36</t>
  </si>
  <si>
    <t>Rh</t>
  </si>
  <si>
    <t>Andrii82576</t>
  </si>
  <si>
    <t>18:30</t>
  </si>
  <si>
    <t>Yuriy Filipovych</t>
  </si>
  <si>
    <t>fyuriy334</t>
  </si>
  <si>
    <t>18:19</t>
  </si>
  <si>
    <t>seven/half of dovboyob</t>
  </si>
  <si>
    <t>three_sla_fyfty</t>
  </si>
  <si>
    <t>Ну,а Шоо!!????????
.....Кажуть люди я сама, наче квіточка,
Що пливуть мої слова, як та річечка,
Що душа моя співає, мов сопілочка.
А я просто українка, україночка,
Донька мера Тернополя купила маєток в Маямі за майже 2 млн доларів.
Вілла Анастасії Надал знаходиться в одному з найпрестижніших районів Маямі Coral Gables і офорлена на чоловіка Рубена Родрігеса. Офіційних доходів для придбання такої нерухомості у чоловіка не було.
Крім того, Надал придбала апартаменти у Маямі за 380 тисяч доларів також без підтвердження доходів.
НАБУ і САП відкрили провадження щодо незаконного збагачення Сергія Надала…</t>
  </si>
  <si>
    <t>Aleksandr Zazhyrey</t>
  </si>
  <si>
    <t>18:11</t>
  </si>
  <si>
    <t>Sandar Marneulenko</t>
  </si>
  <si>
    <t>SandarMarneylen</t>
  </si>
  <si>
    <t>17:55</t>
  </si>
  <si>
    <t>Molka</t>
  </si>
  <si>
    <t>MolkaOdessa</t>
  </si>
  <si>
    <t>Молдова</t>
  </si>
  <si>
    <t>17:42</t>
  </si>
  <si>
    <t>Зараз не питають де  за що купив Настав комунізм для злодіїв</t>
  </si>
  <si>
    <t>Татьяна Матвейчук</t>
  </si>
  <si>
    <t>Natasha</t>
  </si>
  <si>
    <t>StrichkaNata</t>
  </si>
  <si>
    <t>17:34</t>
  </si>
  <si>
    <t>Игорь Юрьевич Дикинштуцер</t>
  </si>
  <si>
    <t>IgorDikinshtein</t>
  </si>
  <si>
    <t>17:31</t>
  </si>
  <si>
    <t>Valentyna Lykhatska</t>
  </si>
  <si>
    <t>Volodymyr Skolozdra</t>
  </si>
  <si>
    <t>vskol34</t>
  </si>
  <si>
    <t>17:28</t>
  </si>
  <si>
    <t>77kramola7</t>
  </si>
  <si>
    <t>17:25</t>
  </si>
  <si>
    <t>Скоро нажрутся все сволочи. Сдохните вместе со всеми вилами и деньгами. Да настанет этот день</t>
  </si>
  <si>
    <t>Маша Дорошенко</t>
  </si>
  <si>
    <t>17:23</t>
  </si>
  <si>
    <t>«Американська мрія» за мільйони: як донька мера Тернополя Надала оселилася на елітній віллі в Майамі</t>
  </si>
  <si>
    <t>Анастасія Надал — дочка мера Тернополя Сергія Надала — стала власницею розкішної вілли в одному з найпрестижніших районів Майамі Coral Gables вартістю майже 2 млн доларів, оформленої на її чоловіка Рубена Родрігеса, у якого не зафіксовано офіційних доходів, що дозволили б придбати такий об'єкт, — а кримінальне провадження НАБУ та САП щодо цих покупок фактично зникло з публічного поля.   Окрім вілли, раніше Анастасія Надал придбала в Майамі апартаменти за 380 тис. доларів. Нерухомість оформлена не на саму Надал, а на її чоловіка Рубена Родрігеса — при цьому, за даними відкритих джерел, підтверджених доходів, які б дозволили придбати об'єкти такої вартості, у нього не зафіксовано. За інформацією з відкритих джерел, раніше за фактом цих покупок кримінальне провадження відкривали НАБУ та Спеціалізована антикорупційна прокуратура. Однак наразі про хід розслідування практично нічого не повідомляється — справа зникла з публічного поля.       Посилання    https://t.me/buddasop/278</t>
  </si>
  <si>
    <t>spilno.org</t>
  </si>
  <si>
    <t>Якось не дивно. Шкода солдат, а так як завжди...за що вмирають?????</t>
  </si>
  <si>
    <t>Людмила Іванівна</t>
  </si>
  <si>
    <t>Херсонська область</t>
  </si>
  <si>
    <t>Херсон</t>
  </si>
  <si>
    <t>17:14</t>
  </si>
  <si>
    <t>korolina</t>
  </si>
  <si>
    <t>tkorolina</t>
  </si>
  <si>
    <t>17:13</t>
  </si>
  <si>
    <t>SU</t>
  </si>
  <si>
    <t>Desh245</t>
  </si>
  <si>
    <t>17:09</t>
  </si>
  <si>
    <t>Поки в Україні війна, донька мера Тернополя Сергія Надала купує розкішну віллу за майже 2 млн доларів у престижному</t>
  </si>
  <si>
    <t>Скоти і злодії.
Влада їх береже бо діляться.</t>
  </si>
  <si>
    <t>Петро Хомицький</t>
  </si>
  <si>
    <t>KamBrod Bandera</t>
  </si>
  <si>
    <t>BanderaKambrod</t>
  </si>
  <si>
    <t>17:07</t>
  </si>
  <si>
    <t>Leothecat</t>
  </si>
  <si>
    <t>leva10102002</t>
  </si>
  <si>
    <t>17:05</t>
  </si>
  <si>
    <t>Юра Дніпро🌐</t>
  </si>
  <si>
    <t>Jura_Dnipro</t>
  </si>
  <si>
    <t>17:01</t>
  </si>
  <si>
    <t>Лара Пані</t>
  </si>
  <si>
    <t>ow195PIf44lK4ia</t>
  </si>
  <si>
    <t>Щоб вони усі поздихали тварі</t>
  </si>
  <si>
    <t>Valentyna Hrynkova</t>
  </si>
  <si>
    <t>16:57</t>
  </si>
  <si>
    <t>N M TW</t>
  </si>
  <si>
    <t>N_A_T__O_K</t>
  </si>
  <si>
    <t>16:47</t>
  </si>
  <si>
    <t>Елена Москаленко</t>
  </si>
  <si>
    <t>16:44</t>
  </si>
  <si>
    <t>Донька мера Тернополя Сергія Надала стала власницею елітної нерухомості у США
  Анастасія Надал придбала віллу в престижному районі Coral Gables (Маямі) вартістю майже $2 млн. 
    Маєток оформлений на її чоловіка, Рубена Родрігеса. У відкритих джерелах відсутня інформація про його офіційні доходи, які могли б пояснити фінансову спроможність здійснити подібну угоду.
    Крім вілли, у власності родини з'явилися апартаменти в Маямі за $380 тисяч.
   НАБУ та САП відкрили кримінальне провадження щодо можливого незаконного збагачення Сергія Надала.
    Ви будете шоковані від масштабів елітної нерухомості Миколаївського мера Сєнкевича. Мер Тернополя нервово курить осторонь. 
🇪🇺Поки Миколаїв тримає удар, родина мера будує «запасний аеродром» у Європі. Дружина Сєнкевича облаштувалася в ЄС: відкриває бізнеси, скуповує нерухомість і насолоджується життям за рахунок миколаївців. Згодом ви про все дізнаєтеся в подробицях.</t>
  </si>
  <si>
    <t>myko_info</t>
  </si>
  <si>
    <t>Нехай будуть прокляті до десятого коліна ті, що нажились на кістках і крові наших синів. Анафема!</t>
  </si>
  <si>
    <t>Ганна Яковець</t>
  </si>
  <si>
    <t>Дубровиця</t>
  </si>
  <si>
    <t>Sarumyan</t>
  </si>
  <si>
    <t>16:29</t>
  </si>
  <si>
    <t>Anatoly Vlasenko</t>
  </si>
  <si>
    <t>Переслано ТГ канал  Донька мера Тернополя Надала придбала віллу майже за 2 млн доларів в престижному районі Маямі</t>
  </si>
  <si>
    <t>Зрозуміло,як і де діваються податки людей</t>
  </si>
  <si>
    <t>Марія Бобела</t>
  </si>
  <si>
    <t>Елла Конякина</t>
  </si>
  <si>
    <t>Валлония</t>
  </si>
  <si>
    <t>Лувен-ла-Нёв</t>
  </si>
  <si>
    <t>Tetyana Smyshlyayeva</t>
  </si>
  <si>
    <t>tetyana.smyshlyayeva.1</t>
  </si>
  <si>
    <t>Арагон</t>
  </si>
  <si>
    <t>Сарагоса</t>
  </si>
  <si>
    <t>Проня Прокопивна</t>
  </si>
  <si>
    <t>Proskoviia</t>
  </si>
  <si>
    <t>vvoxrem</t>
  </si>
  <si>
    <t>Иван Иаанович</t>
  </si>
  <si>
    <t>iaanovic85248</t>
  </si>
  <si>
    <t>Анастасія Надал — дочка мера Тернополя Сергія Надала — стала власницею розкішної вілли в одному з найпрестижніших районів Майамі Coral Gables вартістю майже 2 млн доларів, оформленої на її чоловіка Рубена Родрігеса, у якого не зафіксовано офіційних доходів, що дозволили б придбати такий об'єкт, — а кримінальне провадження НАБУ та САП щодо цих покупок фактично зникло з публічного поля.
«Американська мрія» за мільйони: як донька мера Тернополя Надала оселилася на елітній віллі в Майамі
Анастасія Надал — дочка мера Тернополя Сергія Надала — стала власницею розкішної вілли в одному з найпрестижніших районів Майамі Coral Gables вартістю майже 2 млн ...
https://spilno.org/news/amerykanska-mriya-za-miliony-yak-donka-mera-ternopolya-nadala-oselylasya-na-elitnii-villi-v-maiami</t>
  </si>
  <si>
    <t>SPILNO.UA</t>
  </si>
  <si>
    <t>SPILNO</t>
  </si>
  <si>
    <t>spilnoua</t>
  </si>
  <si>
    <t>Всього навсього</t>
  </si>
  <si>
    <t>Лариса Супрун</t>
  </si>
  <si>
    <t>Сволота,самі вори,куди не глянь</t>
  </si>
  <si>
    <t>Нина Войтова</t>
  </si>
  <si>
    <t>15:35</t>
  </si>
  <si>
    <t>Українці  - самі багаті у світі, виходить.</t>
  </si>
  <si>
    <t>Татьяна Татьяна</t>
  </si>
  <si>
    <t>15:33</t>
  </si>
  <si>
    <t>Василь Гресик</t>
  </si>
  <si>
    <t>15:21</t>
  </si>
  <si>
    <t>Отакі свободівці ?
Донька мера Тернополя Сергія Надала придбала віллу в Маямі за 2 мільйони доларів під час війни • Розслідувач.інфо
Поки в Україні війна, донька мера Тернополя Сергія Надала купує розкішну віллу за майже 2 млн доларів у престижному районі Маямі — Coral Gables.
https://rozsliduvach.info/news/245213-donjka_mera_ternopolja_cergija_nadala_pridbala_villu_v_majami_za_2_miljjoni_dolariv_pid_chas_vijni</t>
  </si>
  <si>
    <t>Орест Дворник</t>
  </si>
  <si>
    <t>15:19</t>
  </si>
  <si>
    <t>У жениха фейс олигофрена.</t>
  </si>
  <si>
    <t>Маргарита Олефиренко</t>
  </si>
  <si>
    <t>Поки в Україні війна, донька мера Тернополя Сергія Надала купує розкішну віллу за майже 2 млн доларів у престижному районі Маямі — Coral Gables.
Вілла в Маямі за 2 мільйони доларів: донька мера Тернополя Сергія Надала оселилася в елітному районі США під час війни
https://antikor.info/articles/823341-villa_v_majami_za_2_milliona_dollarov_dochj_mera_ternopolja_sergeja_nadala_obosnovalasj_v_elitnom_rajone_sa_vo_vremja_vojny</t>
  </si>
  <si>
    <t>Житомирщина, ПРАВДОРУБ!</t>
  </si>
  <si>
    <t>Роман Черемшинський</t>
  </si>
  <si>
    <t>14:45</t>
  </si>
  <si>
    <t>Такі мери по всій Україні в кожному місті і,,,ніхто не бачить,,?</t>
  </si>
  <si>
    <t>Зіна Клим</t>
  </si>
  <si>
    <t>Новини України і світу</t>
  </si>
  <si>
    <t>14:43</t>
  </si>
  <si>
    <t>Bohdan Bugir</t>
  </si>
  <si>
    <t>14:39</t>
  </si>
  <si>
    <t>Ось таким і треба війна</t>
  </si>
  <si>
    <t>Людмила Григор'єва</t>
  </si>
  <si>
    <t>14:34</t>
  </si>
  <si>
    <t>І нерозіпре,вони народ маються бедлоту</t>
  </si>
  <si>
    <t>Надежда Засорина</t>
  </si>
  <si>
    <t>14:33</t>
  </si>
  <si>
    <t>На нари.</t>
  </si>
  <si>
    <t>Petro Pryymachuk</t>
  </si>
  <si>
    <t>Сергій Миколайович</t>
  </si>
  <si>
    <t>14:29</t>
  </si>
  <si>
    <t>А простий люд немає за що ХЛІ БА Купити,  Світла немає, тепла Немає. ...</t>
  </si>
  <si>
    <t>Lidia Demuriyak</t>
  </si>
  <si>
    <t>lidia.demuriyak</t>
  </si>
  <si>
    <t>Мілан</t>
  </si>
  <si>
    <t>14:28</t>
  </si>
  <si>
    <t>Віктор Харипончук</t>
  </si>
  <si>
    <t>Олевськ</t>
  </si>
  <si>
    <t>Ой неужели отнимут, чото не верится, будет от как и всё дела.</t>
  </si>
  <si>
    <t>Еким Калуда</t>
  </si>
  <si>
    <t>Anzelika Holovko Halagan</t>
  </si>
  <si>
    <t>Полтавська область</t>
  </si>
  <si>
    <t>Градизьк</t>
  </si>
  <si>
    <t>14:23</t>
  </si>
  <si>
    <t>Olena  Brikaylo</t>
  </si>
  <si>
    <t>14:22</t>
  </si>
  <si>
    <t>Юрій Власюк</t>
  </si>
  <si>
    <t>brygadir</t>
  </si>
  <si>
    <t>Славута</t>
  </si>
  <si>
    <t>14:09</t>
  </si>
  <si>
    <t>УКРАЇНСЬКИЙ НАЦІОНАЛЬНИЙ ЦЕНТР З АНАЛІЗУ ТА УСУНЕННЯ  ІНОЗЕМНИХ ОКУПАЦІЙ.</t>
  </si>
  <si>
    <t>Рускій корабль, іді на х#й</t>
  </si>
  <si>
    <t>Артем Семеніхін - Президент України</t>
  </si>
  <si>
    <t>14:05</t>
  </si>
  <si>
    <t>Duda Aleksej</t>
  </si>
  <si>
    <t>14:01</t>
  </si>
  <si>
    <t>І-зняли,посадили ні...</t>
  </si>
  <si>
    <t>Лена Олена</t>
  </si>
  <si>
    <t>13:55</t>
  </si>
  <si>
    <t>Звідкіля у Вас "дровцята" такої інформації? "Горять" не погано. Джерело інформації  "у студію!"</t>
  </si>
  <si>
    <t>Homa Pryskiplyvy Pryskiplyvy</t>
  </si>
  <si>
    <t>homa.pryskiplyvy</t>
  </si>
  <si>
    <t>13:54</t>
  </si>
  <si>
    <t>Самий патріотично націоналістичний мер,вишиватник,так патріотично ще ніхто не крав.А що там з головою облбради,головко чи як його,вже сидить ?</t>
  </si>
  <si>
    <t>Ivan Sidor</t>
  </si>
  <si>
    <t>ivan.sidor.370</t>
  </si>
  <si>
    <t>Раківчик</t>
  </si>
  <si>
    <t>І шо ви пишите купив ,украв, утік, а слабо руки поотрубувать тім хто краде на своїх місцях, і всі знають які в них зарплати, так вони ще крадуть ненажори ,як Поршенко і Тимошенко , ці не тікають і мери не тікають, а діти їхні то в Америці, то в Англії, то в Дубаю, а папки обкрадають Україну</t>
  </si>
  <si>
    <t>Alla Gribacova</t>
  </si>
  <si>
    <t>13:50</t>
  </si>
  <si>
    <t>Татьяна Мостивенко</t>
  </si>
  <si>
    <t>Коростень</t>
  </si>
  <si>
    <t>13:45</t>
  </si>
  <si>
    <t>Как несправедливо выходит,одни в окопах под дронами ,а другим виллы на островах ,,</t>
  </si>
  <si>
    <t>Marina Lushictai</t>
  </si>
  <si>
    <t>marina.lushictai</t>
  </si>
  <si>
    <t>Нюрнберг</t>
  </si>
  <si>
    <t>13:40</t>
  </si>
  <si>
    <t>Галя Гетманец</t>
  </si>
  <si>
    <t>Марганець</t>
  </si>
  <si>
    <t>13:34</t>
  </si>
  <si>
    <t>Дякуємо за реформовані суди та схеми.....
Донька мера Тернополя купила маєток в Маямі за майже 2 млн доларів.
Вілла Анастасії Надал знаходиться в одному з найпрестижніших районів Маямі Coral Gables і офорлена на чоловіка Рубена Родрігеса. Офіційних доходів для придбання такої нерухомості у чоловіка не було.
Крім того, Надал придбала апартаменти у Маямі за 380 тисяч доларів також без підтвердження доходів.
НАБУ і САП відкрили провадження щодо незаконного збагачення Сергія Надала…</t>
  </si>
  <si>
    <t>Alla Ladyk</t>
  </si>
  <si>
    <t>alla.ladyk</t>
  </si>
  <si>
    <t>УКРАИНА  И ГРУЗИЯ  С МИХАИЛОМ СААКАШВИЛИ.</t>
  </si>
  <si>
    <t>13:27</t>
  </si>
  <si>
    <t>Гена Лысенко</t>
  </si>
  <si>
    <t>Обухів</t>
  </si>
  <si>
    <t>13:23</t>
  </si>
  <si>
    <t>Там де свобода керує, там розруха і анархія</t>
  </si>
  <si>
    <t>Natliia PM</t>
  </si>
  <si>
    <t>13:22</t>
  </si>
  <si>
    <t>Анатолий Дубовик</t>
  </si>
  <si>
    <t>Західнопоморське воєводство</t>
  </si>
  <si>
    <t>Щецин</t>
  </si>
  <si>
    <t>13:20</t>
  </si>
  <si>
    <t>Сергій Миколайович мародери</t>
  </si>
  <si>
    <t>13:19</t>
  </si>
  <si>
    <t>Щоб встигла там пожити ..</t>
  </si>
  <si>
    <t>Наталія Бедрій</t>
  </si>
  <si>
    <t>13:18</t>
  </si>
  <si>
    <t>Natliia PM, одним словом - хапуги чи крадії</t>
  </si>
  <si>
    <t>13:16</t>
  </si>
  <si>
    <t>Як так що діти мера Тернополя можуть так жити?
Antonov_Vlad (@antonov_vlad92) on Threads • Майже за 2 млн доларів донька мера Тернополя купила маєток у Маямі
Нова вілла Анастасії Надал знаходиться в одному з найпрестижніших районів Маямі Coral Gables і оформлена на чоловіка Рубена Родрігеса. Офіційних доходів для придбання такої нерухомості в чоловіка не було.
Крім того, Надал придбала апартаменти у Маямі за 380 тисяч доларів також без підтвердження доходів.
https://www.threads.com/t/DVQwmUpkSrd/</t>
  </si>
  <si>
    <t>Valentina Voitovic</t>
  </si>
  <si>
    <t>Венето</t>
  </si>
  <si>
    <t>Jesolo</t>
  </si>
  <si>
    <t>13:14</t>
  </si>
  <si>
    <t>Свобода, вільна людина- безпринципна родина, як і всі з свободи, що створені за гроші …</t>
  </si>
  <si>
    <t>13:07</t>
  </si>
  <si>
    <t>Люба Климчук</t>
  </si>
  <si>
    <t>13:05</t>
  </si>
  <si>
    <t>Тимофій Павлюх</t>
  </si>
  <si>
    <t>timofeypavlyukh</t>
  </si>
  <si>
    <t>13:04</t>
  </si>
  <si>
    <t>Леонід Мороченець</t>
  </si>
  <si>
    <t>Сарни</t>
  </si>
  <si>
    <t>13:03</t>
  </si>
  <si>
    <t>Lesya Lapishko</t>
  </si>
  <si>
    <t>lesya.lapishko</t>
  </si>
  <si>
    <t>Кампанія</t>
  </si>
  <si>
    <t>Неаполь</t>
  </si>
  <si>
    <t>12:59</t>
  </si>
  <si>
    <t>12:54</t>
  </si>
  <si>
    <t>Ось, таким і потрібна війна.</t>
  </si>
  <si>
    <t>Ірина Кузенкова</t>
  </si>
  <si>
    <t>можешь отправить дружбу</t>
  </si>
  <si>
    <t>Hydr Sdlm</t>
  </si>
  <si>
    <t>Olha Olga</t>
  </si>
  <si>
    <t>Португалія</t>
  </si>
  <si>
    <t>Центральный регион</t>
  </si>
  <si>
    <t>Лісабон</t>
  </si>
  <si>
    <t>12:51</t>
  </si>
  <si>
    <t>Elena Kovfgk</t>
  </si>
  <si>
    <t>elena.kovfgk</t>
  </si>
  <si>
    <t>Мабуть наречені позичили грошей в Головка?😁</t>
  </si>
  <si>
    <t>Володимир Гончар</t>
  </si>
  <si>
    <t>Деньги</t>
  </si>
  <si>
    <t>12:42</t>
  </si>
  <si>
    <t>Олександр Миколайович Дем'янюк</t>
  </si>
  <si>
    <t>d.sanja76</t>
  </si>
  <si>
    <t>12:37</t>
  </si>
  <si>
    <t>НАБУ і САП займаються мінДічами... Корупція на місцях їх не цікавить. Покищо...</t>
  </si>
  <si>
    <t>Ігор Спокій</t>
  </si>
  <si>
    <t>igor.spokij</t>
  </si>
  <si>
    <t>Какая прелесть.</t>
  </si>
  <si>
    <t>Таня Савченко</t>
  </si>
  <si>
    <t>12:35</t>
  </si>
  <si>
    <t>12:30</t>
  </si>
  <si>
    <t>Petro Teren</t>
  </si>
  <si>
    <t>12:23</t>
  </si>
  <si>
    <t>Конфіскувати усе до нитки,а самих в тюрму.</t>
  </si>
  <si>
    <t>Галина Слюсаренко</t>
  </si>
  <si>
    <t>НАБУ дивно працює? Чому до цього часу не заарештували, не конфіскували ..?  Ті, що наживаються під час війни, повинні бути жорстко  покарані. Це і є боротьба з корупцією.</t>
  </si>
  <si>
    <t>12:22</t>
  </si>
  <si>
    <t>Alexander Petryk мера вибрали люди, а не Зеленський. Всіх падлюк в нашій країні не зможе побачити навіть найкращий президент. Всі ,,гарні,, поки не добрались до корита.</t>
  </si>
  <si>
    <t>Ніна Стрельченко</t>
  </si>
  <si>
    <t>12:18</t>
  </si>
  <si>
    <t>Молодец</t>
  </si>
  <si>
    <t>Misha Klochan</t>
  </si>
  <si>
    <t>Arkady Rudnik</t>
  </si>
  <si>
    <t>Скандальні події Тернопільщини</t>
  </si>
  <si>
    <t>12:17</t>
  </si>
  <si>
    <t>Илья Сучеван</t>
  </si>
  <si>
    <t>12:12</t>
  </si>
  <si>
    <t>Капєц! Як важко працював її батько!</t>
  </si>
  <si>
    <t>Irina Glücklich</t>
  </si>
  <si>
    <t>12:11</t>
  </si>
  <si>
    <t>11:58</t>
  </si>
  <si>
    <t>Радченко Валентина</t>
  </si>
  <si>
    <t>Liubov Rybak</t>
  </si>
  <si>
    <t>liubov.rybak.12</t>
  </si>
  <si>
    <t>Брешія</t>
  </si>
  <si>
    <t>11:48</t>
  </si>
  <si>
    <t>Росстрилять падло</t>
  </si>
  <si>
    <t>Руслан Решетняк</t>
  </si>
  <si>
    <t>Валенсия</t>
  </si>
  <si>
    <t>Торревьеха</t>
  </si>
  <si>
    <t>Дякуємо за реформовані суди та схеми..... Донька мера Тернополя купила маєток в Маямі за майже 2 млн доларів. Вілла</t>
  </si>
  <si>
    <t>Мраазь</t>
  </si>
  <si>
    <t>Сергій Синчук</t>
  </si>
  <si>
    <t>Зеленский-мой Президент</t>
  </si>
  <si>
    <t>11:37</t>
  </si>
  <si>
    <t>А не погано живуть люди Зеленського 
А нам Петров-Іванов травлять про поганого Порошенко і Залужного</t>
  </si>
  <si>
    <t>Alexander Petryk</t>
  </si>
  <si>
    <t>alex.petrik.357</t>
  </si>
  <si>
    <t>11:35</t>
  </si>
  <si>
    <t>У нас патріотизм випаровується з  доступом до фінансових потоків</t>
  </si>
  <si>
    <t>Oleksandr Kishko</t>
  </si>
  <si>
    <t>То є Львів</t>
  </si>
  <si>
    <t>11:28</t>
  </si>
  <si>
    <t>Моододці, не відстають від зебанди !!!</t>
  </si>
  <si>
    <t>Аркадий Матохнюк</t>
  </si>
  <si>
    <t>Maria  Kovach-Roshko</t>
  </si>
  <si>
    <t>11:27</t>
  </si>
  <si>
    <t>Вова Вова</t>
  </si>
  <si>
    <t>11:25</t>
  </si>
  <si>
    <t>Oleh Maksymenko</t>
  </si>
  <si>
    <t>11:21</t>
  </si>
  <si>
    <t>Сергій Надал - член партії ВО ''Свобода''. Свобода не для українців,а свобода від українців?
Вілла в Маямі за 2 мільйони доларів: донька мера Тернополя Сергія Надала оселилася в елітному районі США під час війни
Поки в Україні війна, донька мера Тернополя Сергія Надала купує розкішну віллу за майже 2 млн доларів у престижному районі Маямі — Coral Gables.
https://antikor.ua/articles/823341-villa_v_majami_za_2_milliona_dollarov_dochj_mera_ternopolja_sergeja_nadala_obosnovalasj_v_elitnom_rajone_sa_vo_vremja_vojny</t>
  </si>
  <si>
    <t>Дмитро Ковилів</t>
  </si>
  <si>
    <t>11:17</t>
  </si>
  <si>
    <t>Суки кончені судити</t>
  </si>
  <si>
    <t>Vasylka Bankova</t>
  </si>
  <si>
    <t>vasylka.bankova</t>
  </si>
  <si>
    <t>Ніна Мацьків</t>
  </si>
  <si>
    <t>11:16</t>
  </si>
  <si>
    <t>Радченко Валентина всі</t>
  </si>
  <si>
    <t>Kovalevska Iryna</t>
  </si>
  <si>
    <t>11:14</t>
  </si>
  <si>
    <t>Василь Василечко</t>
  </si>
  <si>
    <t>11:08</t>
  </si>
  <si>
    <t>Наша ненька Україна</t>
  </si>
  <si>
    <t>11:03</t>
  </si>
  <si>
    <t>Майже за 2 млн доларів донька мера Тернополя купила маєток у Маямі
Нова вілла Анастасії Надал знаходиться в одному з найпрестижніших районів Маямі Coral Gables і оформлена на чоловіка Рубена Родрігеса. Офіційних доходів для придбання такої нерухомості в чоловіка не було.
Крім того, Надал придбала апартаменти у Маямі за 380 тисяч доларів також без підтвердження доходів.
У НАБУ раніше відкрили справу, але чомусь про неї всі забули. Чому так?
Радник🇺🇦 👈 Підписатись</t>
  </si>
  <si>
    <t>Ужгород</t>
  </si>
  <si>
    <t>10:51</t>
  </si>
  <si>
    <t>Ті хто не посадив корупціонерів,повинні сісти на довічне,іншого не може бути.</t>
  </si>
  <si>
    <t>Віталій Андрійчук</t>
  </si>
  <si>
    <t>10:49</t>
  </si>
  <si>
    <t>Такий будинок в Маямі коштує значно більше, ніж 2 млн.</t>
  </si>
  <si>
    <t>Nadia Viniar</t>
  </si>
  <si>
    <t>Українка</t>
  </si>
  <si>
    <t>10:48</t>
  </si>
  <si>
    <t>Свобода це партія жуликів</t>
  </si>
  <si>
    <t>Володимир Крисяк</t>
  </si>
  <si>
    <t>10:42</t>
  </si>
  <si>
    <t>Ту свободівську лярву в окоп</t>
  </si>
  <si>
    <t>Ігор Рудий</t>
  </si>
  <si>
    <t>10:41</t>
  </si>
  <si>
    <t>Коля Сорохан і до чого ваш коментар?</t>
  </si>
  <si>
    <t>Надя Самойлова</t>
  </si>
  <si>
    <t>10:40</t>
  </si>
  <si>
    <t>Надала ще не посадили?жах,цю скотину за грати</t>
  </si>
  <si>
    <t>Владимир Кухарь</t>
  </si>
  <si>
    <t>10:39</t>
  </si>
  <si>
    <t>Мирон Балабан</t>
  </si>
  <si>
    <t>Інформація для НЗК-опрацюйте!</t>
  </si>
  <si>
    <t>Лілія Федорова</t>
  </si>
  <si>
    <t>10:35</t>
  </si>
  <si>
    <t>Сука щоб ви всі були на цвинтарі</t>
  </si>
  <si>
    <t>Вова Тимошенко</t>
  </si>
  <si>
    <t>Закарпатська Правда- Закарпаття Хуст</t>
  </si>
  <si>
    <t>10:33</t>
  </si>
  <si>
    <t>Тварі,а в Україні ВІЙНА</t>
  </si>
  <si>
    <t>ВИБІР України - В. О. Зеленський !!!</t>
  </si>
  <si>
    <t>Orest  Lys</t>
  </si>
  <si>
    <t>orest.lys</t>
  </si>
  <si>
    <t>10:26</t>
  </si>
  <si>
    <t>Черговий псевдо патріот і вишиватник .. а точніше - звичайна типова гнида ...
Донька мера Тернополя Сергія Надала придбала віллу майже за 2 млн доларів в престижному районі Маямі Coral Gables. 
Нерухомість оформлена на її чоловіка Рубена Родрігеса, офіційних доходів для такої покупки у нього не зафіксовано. Крім того, вона купила апартаменти у Маямі за 380 тисяч доларів без підтверджених джерел коштів.
Раніше НАБУ та САП відкривали провадження щодо можливого незаконного збагачення Сергія Надала.</t>
  </si>
  <si>
    <t>Руслан Цеслів</t>
  </si>
  <si>
    <t>10:25</t>
  </si>
  <si>
    <t>Елена Минчак</t>
  </si>
  <si>
    <t>Трускавець</t>
  </si>
  <si>
    <t>10:24</t>
  </si>
  <si>
    <t>Vasiliy Slobodianiuk</t>
  </si>
  <si>
    <t>10:23</t>
  </si>
  <si>
    <t>то сирота наробилася на Україні бідна бідна ше  може язва в неї
Вілла в Маямі за 2 мільйони доларів. Донька мера Тернополя Сергія Надала оселилася в  США під час війни</t>
  </si>
  <si>
    <t>Віталій Львівський</t>
  </si>
  <si>
    <t>10:22</t>
  </si>
  <si>
    <t>Yosyf Kotuzyak</t>
  </si>
  <si>
    <t>10:21</t>
  </si>
  <si>
    <t>Валентина Рубаха</t>
  </si>
  <si>
    <t>10:19</t>
  </si>
  <si>
    <t>А чого не в перспективній, процвітаючій, європейській, цивілізованій Україні? Якось не патріотично</t>
  </si>
  <si>
    <t>Ola La</t>
  </si>
  <si>
    <t>Оксана Панько</t>
  </si>
  <si>
    <t>10:18</t>
  </si>
  <si>
    <t>МИСИЯ ЗЕЛЕНСЬКОГО 2</t>
  </si>
  <si>
    <t>Владимир Зеленский - НАШ Президент</t>
  </si>
  <si>
    <t>10:15</t>
  </si>
  <si>
    <t>Справжній патріотичний госп.дар.Побудував 30 тис.кв.метрів доріг,створиа 10 тис.нових робочих місць,та 5 пасік з утепленими стінами.
Донька мера Тернополя купила маєток в Маямі за майже 2 млн доларів.
Вілла Анастасії Надал знаходиться в одному з найпрестижніших районів Маямі Coral Gables і офорлена на чоловіка Рубена Родрігеса. Офіційних доходів для придбання такої нерухомості у чоловіка не було.
Крім того, Надал придбала апартаменти у Маямі за 380 тисяч доларів також без підтвердження доходів.
НАБУ і САП відкрили провадження щодо незаконного збагачення Сергія Надала…</t>
  </si>
  <si>
    <t>Игорь Гуменюк</t>
  </si>
  <si>
    <t>Коли ті чорти понажераються..
.</t>
  </si>
  <si>
    <t>Hanna Kunetska</t>
  </si>
  <si>
    <t>10:13</t>
  </si>
  <si>
    <t>I здаеться мер Тернополя був вiд Своболи. Чи крадуть всi?</t>
  </si>
  <si>
    <t>10:09</t>
  </si>
  <si>
    <t>Дмитрий Рябченко</t>
  </si>
  <si>
    <t>medcontrolnikolaev</t>
  </si>
  <si>
    <t>Чи усміхнеться доля українському народу?</t>
  </si>
  <si>
    <t>10:04</t>
  </si>
  <si>
    <t>Гречка , ковбаса , вибори , бандура , жалісні пісні .</t>
  </si>
  <si>
    <t>Chernilevskii Oleksander</t>
  </si>
  <si>
    <t>Москва</t>
  </si>
  <si>
    <t>10:03</t>
  </si>
  <si>
    <t>Veronika Fatenko</t>
  </si>
  <si>
    <t>????
Донька мера Тернополя Сергія Надала придбала віллу майже за 2 млн доларів в престижному районі Маямі Coral Gables. 
Нерухомість оформлена на її чоловіка Рубена Родрігеса, офіційних доходів для такої покупки у нього не зафіксовано. Крім того, вона купила апартаменти у Маямі за 380 тисяч доларів без підтверджених джерел коштів.
Раніше НАБУ та САП відкривали провадження щодо можливого незаконного збагачення Сергія Надала.</t>
  </si>
  <si>
    <t>Марія Гілета</t>
  </si>
  <si>
    <t>mariya1957</t>
  </si>
  <si>
    <t>09:56</t>
  </si>
  <si>
    <t>😡👎🏾......</t>
  </si>
  <si>
    <t>Микола Черкасов</t>
  </si>
  <si>
    <t>Леонід Мороз</t>
  </si>
  <si>
    <t>09:55</t>
  </si>
  <si>
    <t>Мабуть містяни можуть дозволити такі статки для мера!</t>
  </si>
  <si>
    <t>Владимир Русанов</t>
  </si>
  <si>
    <t>09:53</t>
  </si>
  <si>
    <t>І на всіх забили болт!</t>
  </si>
  <si>
    <t>Зоряна Воронюк</t>
  </si>
  <si>
    <t>Anna Horobets</t>
  </si>
  <si>
    <t>Taty Dub</t>
  </si>
  <si>
    <t>Оголошення Заліщики, Чортківський район, Тернопільська область</t>
  </si>
  <si>
    <t>09:51</t>
  </si>
  <si>
    <t>Так у нас немає надії на закінчення війни .
Для них це найкращі часи.</t>
  </si>
  <si>
    <t>Наталья Гаманюк</t>
  </si>
  <si>
    <t>09:50</t>
  </si>
  <si>
    <t>Olga Kalapusha</t>
  </si>
  <si>
    <t>09:49</t>
  </si>
  <si>
    <t>Вітаю мешканців Тернополя</t>
  </si>
  <si>
    <t>Oleh  Belokolos</t>
  </si>
  <si>
    <t>..забули...</t>
  </si>
  <si>
    <t>Frozina  Ksenchik</t>
  </si>
  <si>
    <t>mtkcenchik</t>
  </si>
  <si>
    <t>09:47</t>
  </si>
  <si>
    <t>Вінницька область</t>
  </si>
  <si>
    <t>Вінниця</t>
  </si>
  <si>
    <t>Вчіться українці як потрібно красти щоб жити в достатку</t>
  </si>
  <si>
    <t>09:46</t>
  </si>
  <si>
    <t>09:39</t>
  </si>
  <si>
    <t>09:36</t>
  </si>
  <si>
    <t>media2.giphy.com</t>
  </si>
  <si>
    <t>НУ ЦЕ ВЗАГАЛІ  КАПЕЦЬ. А ЩЕ МЕР ОДІВ ВИШИВАНКУ. ПІДЛІ, БРЕХЛИВІ, КОРУПЦІОНЕРИ.  ЯКУ Ж ТРЕБА МАТИ ЗАРПЛАТУ МЕРА, ЩОБ ТАК ЗАБЕЗПЕЧИТИ СВОЮ КРОВИНКУ?</t>
  </si>
  <si>
    <t>09:34</t>
  </si>
  <si>
    <t>Roman Ivantsiv</t>
  </si>
  <si>
    <t>09:31</t>
  </si>
  <si>
    <t>Віктор Кодьман</t>
  </si>
  <si>
    <t>09:30</t>
  </si>
  <si>
    <t>Юлія Казмірук</t>
  </si>
  <si>
    <t>поки лохи в окопах дохнуть</t>
  </si>
  <si>
    <t>Bex  Petrovich</t>
  </si>
  <si>
    <t>То в Україні прийняли такий закон,що якщо хочеш купити квартиру,то покажи свої офіційні доходи,а в Маямі купляють за мільйони доларів і ніхто не питає звідки кошти в українців!!!</t>
  </si>
  <si>
    <t>Марія Макуц</t>
  </si>
  <si>
    <t>09:22</t>
  </si>
  <si>
    <t>Тому у нас українців і не має майбутнього.</t>
  </si>
  <si>
    <t>Юра Керецман</t>
  </si>
  <si>
    <t>Тячів</t>
  </si>
  <si>
    <t>09:20</t>
  </si>
  <si>
    <t>Біда України у тому, що нею керують ті, кому вона не потрібна.</t>
  </si>
  <si>
    <t>Тетяна Ліщук</t>
  </si>
  <si>
    <t>09:19</t>
  </si>
  <si>
    <t>Коли будуть закони проти корупціонерів, чи одні застави і далі кради.</t>
  </si>
  <si>
    <t>Любовь Нечмилова</t>
  </si>
  <si>
    <t>09:18</t>
  </si>
  <si>
    <t>Отримали відкат, картонки в курсі.</t>
  </si>
  <si>
    <t>Анатолій Сенюк</t>
  </si>
  <si>
    <t>Хмельницький</t>
  </si>
  <si>
    <t>09:16</t>
  </si>
  <si>
    <t>Донька мера Тернополя Надала придбала віллу майже за 2 млн доларів в престижному районі Маямі.
Нерухомість оформлена на її чоловіка Рубена Родрігеса, офіційних доходів для такої покупки у нього немає.
НАБУ вже відкривало провадження щодо незаконного збагачення Сергія Надала.
Святі патрійоти, мать їх за ногу.</t>
  </si>
  <si>
    <t>Верховина Time</t>
  </si>
  <si>
    <t>VerkhovynaTime</t>
  </si>
  <si>
    <t>09:13</t>
  </si>
  <si>
    <t>Сергей Тутов</t>
  </si>
  <si>
    <t>09:12</t>
  </si>
  <si>
    <t>Лиса,хитра,нагла та корумпована- потвора!</t>
  </si>
  <si>
    <t>Ігор. Кадобний</t>
  </si>
  <si>
    <t>09:11</t>
  </si>
  <si>
    <t>Ось так і живем...</t>
  </si>
  <si>
    <t>Марія Кузик</t>
  </si>
  <si>
    <t>Добрячин</t>
  </si>
  <si>
    <t>І що з того що розкривають а ніхто ж не покараний</t>
  </si>
  <si>
    <t>Євгенія Романюк</t>
  </si>
  <si>
    <t>09:09</t>
  </si>
  <si>
    <t>Давно злодія треба гнати</t>
  </si>
  <si>
    <t>Наталя Буковинська</t>
  </si>
  <si>
    <t>Pro.Ternopil - Тернопіль Сьогодні</t>
  </si>
  <si>
    <t>Модена</t>
  </si>
  <si>
    <t>09:08</t>
  </si>
  <si>
    <t>Петро Подолян</t>
  </si>
  <si>
    <t>На  жаль це так одним дітям віли а другим бідні батьки броніки.</t>
  </si>
  <si>
    <t>Аделя Ільїна</t>
  </si>
  <si>
    <t>Війна для бідних, для інших бізнес,</t>
  </si>
  <si>
    <t>Halyna Levitskaya</t>
  </si>
  <si>
    <t>Трентіно-Альто-Адідже</t>
  </si>
  <si>
    <t>Borgo Valsugana</t>
  </si>
  <si>
    <t>09:05</t>
  </si>
  <si>
    <t>мародери у вишиванках...</t>
  </si>
  <si>
    <t>Євген Арт</t>
  </si>
  <si>
    <t>09:04</t>
  </si>
  <si>
    <t>Хороший папа.</t>
  </si>
  <si>
    <t>Андрей Евченко</t>
  </si>
  <si>
    <t>Злодії</t>
  </si>
  <si>
    <t>Галя Зарицька</t>
  </si>
  <si>
    <t>Кому це треба бачити комусь від того стало краще жити чи піднімете народ а писати не мішки носити</t>
  </si>
  <si>
    <t>Ярослава Василівна</t>
  </si>
  <si>
    <t>08:54</t>
  </si>
  <si>
    <t>Це ж скажіть як треба красти щоб такі віли купляти 
Та ні він ні його донька в житті б такі гроші своім потом не заробили
І от має бути закон щоб як в Германіі ти маєш принести той дохвд звідки він в тебе 
Тоді повірте ні одна б сволота таке не купила і не крала 
А ще все конфіскувати до цента і квартири, дома, машини 
От тоді б почався порядок в краіні</t>
  </si>
  <si>
    <t>Етелка Уманцива</t>
  </si>
  <si>
    <t>08:52</t>
  </si>
  <si>
    <t>Чого б ні, як ви самі їх обираєте</t>
  </si>
  <si>
    <t>Ела Ела</t>
  </si>
  <si>
    <t>Ізраїль</t>
  </si>
  <si>
    <t>Центральный округ</t>
  </si>
  <si>
    <t>גזר</t>
  </si>
  <si>
    <t>08:51</t>
  </si>
  <si>
    <t>Степан Федоришин</t>
  </si>
  <si>
    <t>tzov.vektor</t>
  </si>
  <si>
    <t>08:50</t>
  </si>
  <si>
    <t>Ирина Шевченко</t>
  </si>
  <si>
    <t>🇺🇦Дніпрорудне - це Україна🇺🇦</t>
  </si>
  <si>
    <t>Типичная Васильевка</t>
  </si>
  <si>
    <t>08:49</t>
  </si>
  <si>
    <t>Свобода рулить</t>
  </si>
  <si>
    <t>В'ячеслав Литвинчук</t>
  </si>
  <si>
    <t>08:45</t>
  </si>
  <si>
    <t>Sebastian Pareyro</t>
  </si>
  <si>
    <t>Невизначений (латиниця)</t>
  </si>
  <si>
    <t>Мені цікаво,чи є в Україні хоч один чесний мер ,або депутат???Як можна так красти????як можна не боятись Бога 🙏🙏🙏</t>
  </si>
  <si>
    <t>Людмила Сальник</t>
  </si>
  <si>
    <t>А хто сомневается.</t>
  </si>
  <si>
    <t>Liuba Demediuk</t>
  </si>
  <si>
    <t>08:41</t>
  </si>
  <si>
    <t>Роман Вішка</t>
  </si>
  <si>
    <t>08:39</t>
  </si>
  <si>
    <t>Злодії не перевелися і нічого їм небуде.</t>
  </si>
  <si>
    <t>Людмила Семенюк</t>
  </si>
  <si>
    <t>08:38</t>
  </si>
  <si>
    <t>Щось не здало відкривало то набу</t>
  </si>
  <si>
    <t>Igor  Ugrin</t>
  </si>
  <si>
    <t>igor.ugrin</t>
  </si>
  <si>
    <t>08:35</t>
  </si>
  <si>
    <t>,Де твоя доця взяла такі гроші Злодюга?</t>
  </si>
  <si>
    <t>Богдан Михалюк</t>
  </si>
  <si>
    <t>08:28</t>
  </si>
  <si>
    <t>ЇХ ПОТРІБНО МІНЯТИ КОЖНИХ ДВА РОКИ, І З ЧИМ ПРИЙШОВ З ТИМ ПІШОВ, АЛЕ НА ЖАЛЬ ТАК НЕ БУДЕ</t>
  </si>
  <si>
    <t>Svitlana Avakova</t>
  </si>
  <si>
    <t>svitlana.avakova.1</t>
  </si>
  <si>
    <t>Ви воюйте ,а ми по жируєм.</t>
  </si>
  <si>
    <t>Богдан Пет</t>
  </si>
  <si>
    <t>08:23</t>
  </si>
  <si>
    <t>Потужно</t>
  </si>
  <si>
    <t>Ana Oksi</t>
  </si>
  <si>
    <t>08:17</t>
  </si>
  <si>
    <t>🏘 Донька мера купує віллу
З розслідувань редактора "Політерно" Андрія Щесняка стало відомо, що донька мера Тернополя Сергія Надала в 2020 році придбала віллу майже за 2 млн доларів в престижному районі Маямі Coral Gables.
Нерухомість оформлена на її чоловіка Рубена Родрігеса, офіційних доходів для такої покупки у нього не зафіксовано. 
Крім того, вона купила апартаменти у Маямі за 380 тисяч доларів без підтверджених джерел коштів.
Раніше НАБУ та САП відкривали провадження щодо можливого незаконного збагачення Сергія Надала.
📲 Підписуйся на Інсайт Україна — будь в курсі подій!
#Інсайт #Тернопіль #Новини
👉 Більше цікавого у нашому телеграмі 👇</t>
  </si>
  <si>
    <t>Anton Kravchenko</t>
  </si>
  <si>
    <t>&lt; День за днем з Україною 💙💛&gt;</t>
  </si>
  <si>
    <t>08:12</t>
  </si>
  <si>
    <t>Kolesov Oleg</t>
  </si>
  <si>
    <t>kolesov.oleg</t>
  </si>
  <si>
    <t>Грузія</t>
  </si>
  <si>
    <t>Аджарська Автономна Республіка</t>
  </si>
  <si>
    <t>Батумі</t>
  </si>
  <si>
    <t>Воїни в холоді, в голоді, а ми жируєм, Боже Україну храни</t>
  </si>
  <si>
    <t>Зінаіда Вараниця</t>
  </si>
  <si>
    <t>08:07</t>
  </si>
  <si>
    <t>Руслан Носов</t>
  </si>
  <si>
    <t>08:04</t>
  </si>
  <si>
    <t>ЧХАТИ Вони ж усі на ПРОСТИХ ЛЮДЕЙ хочуть .СВІТ ЗЇЗДЖАЕ із КАТУШОК &gt; ТВОРИТЬСЯ БЕЗПРЕДЕЛ ПОВНІЙШИЙ .</t>
  </si>
  <si>
    <t>Світлана Безпятчук</t>
  </si>
  <si>
    <t>І ще одне....давайте змінено ,,гасло"Будемо кричати, і казати....СЛАВА БОГУ!!!!А воїнам нашим усопшим вічна пам'ять  шана,подяка,молитва в Царстві Небесному, живим, Божої опіки, сили, зцілення,  перемогти ворога.Бо коли Господь з нами, то хто тоді проти нас?СЛАВА БОГУ НАШОМУ, І НА ЗЕМЛІ МИР...АМІНЬ</t>
  </si>
  <si>
    <t>Ruslana Kaminska</t>
  </si>
  <si>
    <t>ruslana.kaminska.5</t>
  </si>
  <si>
    <t>Почаїв</t>
  </si>
  <si>
    <t>07:59</t>
  </si>
  <si>
    <t>Всі забувають тільки одне що Бог бачить все.</t>
  </si>
  <si>
    <t>Маряна Мостовська</t>
  </si>
  <si>
    <t>Заробила</t>
  </si>
  <si>
    <t>Віра Драгуля</t>
  </si>
  <si>
    <t>07:56</t>
  </si>
  <si>
    <t>Ruslana Kaminska це точно,натягнув Вишиванку і вперед розкрадати все, що пливе до рук...</t>
  </si>
  <si>
    <t>Таня Задоровська</t>
  </si>
  <si>
    <t>07:53</t>
  </si>
  <si>
    <t>Ви скажіть народе,чому таке крадівництво в країні? І це в кожному районі,області,місту,коли в країні йде війна.А наші можновладці жирують,їм начхати на Україну бо не вони її боронять,а боронить простий народ.Президент не на своєму місці,ДБР,СБУ,ГУР не працює,вони набивають також свої кармани (Міндічгейт).Ніхто не несе відповідальності.Пять років грабували країну,самі можновладці  ми могли і не знати ,якби не НАБУ і САП.Тепер ще добавився Сергій Ваганян,який розповідає,що кожну неділю возив Наумова і Баканову міліони,коли в той час займав пост СБУ Баканов"самий чесний",як говорив за нього Зеленський. Країною керує мафія.</t>
  </si>
  <si>
    <t>Любовь Іванівна Мекекечко</t>
  </si>
  <si>
    <t>Ніколи в Україні нічого не поміняеться</t>
  </si>
  <si>
    <t>Roman Sushkov</t>
  </si>
  <si>
    <t>Каталонія</t>
  </si>
  <si>
    <t>Льєйда</t>
  </si>
  <si>
    <t>07:48</t>
  </si>
  <si>
    <t>Ви написали - ми прочитали ! А далі що ?</t>
  </si>
  <si>
    <t>Олеся Галич</t>
  </si>
  <si>
    <t>07:42</t>
  </si>
  <si>
    <t>07:41</t>
  </si>
  <si>
    <t>Повірте люди от ті вишиванщики, як казав Кузьма найбільші злодії країни.І чим більше візерунків, тим більша гнида,типу, так названий ,,патріот".І всі вони зелені сомплі а народові просто їх треба висмаркати..</t>
  </si>
  <si>
    <t>07:39</t>
  </si>
  <si>
    <t>Анастасія Надал, донька міського голови Тернополя Сергія Надала, стала власницею елітної нерухомості у США. Йдеться про віллу в Маямі вартістю майже 2 мільйони доларів.
Донька мера Тернополя придбала елітну нерухомість у США: суми вражають
Анастасія Надал, донька міського голови Тернополя Сергія Надала, стала власницею елітної нерухомості у США. Йдеться про віллу в Маямі вартістю майже 2
https://www.stopcor.org/ukr/section-uanews/news-donka-mera-ternopolya-pridbala-elitnu-neruhomist-u-ssha-sumi-vrazhayut-27-02-2026.html</t>
  </si>
  <si>
    <t>Володимир Гура</t>
  </si>
  <si>
    <t>07:37</t>
  </si>
  <si>
    <t>добряче наколядував , війна таки жнива</t>
  </si>
  <si>
    <t>Олена Пан</t>
  </si>
  <si>
    <t>dirk.hahn.90</t>
  </si>
  <si>
    <t>Alexandr  Pilipenko</t>
  </si>
  <si>
    <t>paramon1965</t>
  </si>
  <si>
    <t>Вараш</t>
  </si>
  <si>
    <t>07:36</t>
  </si>
  <si>
    <t>Так він чесно на зарплату купив</t>
  </si>
  <si>
    <t>Галина Журавчак</t>
  </si>
  <si>
    <t>То виявляється , що Родрігес бомж з під плота ...</t>
  </si>
  <si>
    <t>Andriy Fedash</t>
  </si>
  <si>
    <t>andrew.fedash</t>
  </si>
  <si>
    <t>Турка</t>
  </si>
  <si>
    <t>07:29</t>
  </si>
  <si>
    <t>Валюша Валюша</t>
  </si>
  <si>
    <t>Луцьк</t>
  </si>
  <si>
    <t>07:27</t>
  </si>
  <si>
    <t>07:26</t>
  </si>
  <si>
    <t>😇</t>
  </si>
  <si>
    <t>Галина Бирчак</t>
  </si>
  <si>
    <t>07:25</t>
  </si>
  <si>
    <t>Кому війна ,кому нажива. Одні голови кладуть, інша мерзота наживається . Я впевнена що вся країна усіяна такими мерами, чого гріха таїти. Їх діти там не сидять у холодних окопах. Прикро що ця мерзота при владі, їм по барабану що нас знищують. Ви гляньте вже пів зради за бугром живуть.</t>
  </si>
  <si>
    <t>Светлана Новик</t>
  </si>
  <si>
    <t>07:17</t>
  </si>
  <si>
    <t>Іван Борис</t>
  </si>
  <si>
    <t>Одні бандюги,злодії</t>
  </si>
  <si>
    <t>Світлана Миколаївна</t>
  </si>
  <si>
    <t>07:16</t>
  </si>
  <si>
    <t>Best Choice</t>
  </si>
  <si>
    <t>07:06</t>
  </si>
  <si>
    <t>Ну а що йому  фінський домік треба купити, звісно нормальну хату треба</t>
  </si>
  <si>
    <t>Ілля Петренко</t>
  </si>
  <si>
    <t>Любов Рихлівська</t>
  </si>
  <si>
    <t>lubaha.milkova</t>
  </si>
  <si>
    <t>06:59</t>
  </si>
  <si>
    <t>За то в вишиванці</t>
  </si>
  <si>
    <t>Олександр Файко</t>
  </si>
  <si>
    <t>Жах</t>
  </si>
  <si>
    <t>Ігор Денис</t>
  </si>
  <si>
    <t>06:54</t>
  </si>
  <si>
    <t>Крупный город, можно много снять сливок !</t>
  </si>
  <si>
    <t>Valentin  Kardapolov</t>
  </si>
  <si>
    <t>valentin.kardapolov</t>
  </si>
  <si>
    <t>Все про Україну...🇺🇦</t>
  </si>
  <si>
    <t>Павлоград</t>
  </si>
  <si>
    <t>06:49</t>
  </si>
  <si>
    <t>Anna Sevbaks</t>
  </si>
  <si>
    <t>anna.sevbaks.7</t>
  </si>
  <si>
    <t>06:41</t>
  </si>
  <si>
    <t>Go to jail</t>
  </si>
  <si>
    <t>Natalia Dany</t>
  </si>
  <si>
    <t>Англійська</t>
  </si>
  <si>
    <t>Наталія Дяченко</t>
  </si>
  <si>
    <t>Компаніївка</t>
  </si>
  <si>
    <t>06:38</t>
  </si>
  <si>
    <t>Скиньте локацію, я тут поряд</t>
  </si>
  <si>
    <t>Огайо</t>
  </si>
  <si>
    <t>Кливленд</t>
  </si>
  <si>
    <t>06:30</t>
  </si>
  <si>
    <t>Во крадуть,а влада дах</t>
  </si>
  <si>
    <t>Роман Бердников</t>
  </si>
  <si>
    <t>06:29</t>
  </si>
  <si>
    <t>Олександра Строчек</t>
  </si>
  <si>
    <t>06:25</t>
  </si>
  <si>
    <t>Падлюки заробляють на відкатах за ремонти, будівництва, надання грантів і т.д...</t>
  </si>
  <si>
    <t>Василь Іванов</t>
  </si>
  <si>
    <t>06:09</t>
  </si>
  <si>
    <t>А ви йдіть неіснуючий обов'язок віддайте</t>
  </si>
  <si>
    <t>Виктор Маркевич</t>
  </si>
  <si>
    <t>06:07</t>
  </si>
  <si>
    <t>Andrey Safatyuk</t>
  </si>
  <si>
    <t>Нижньосілезьке воєводство</t>
  </si>
  <si>
    <t>Вроцлав</t>
  </si>
  <si>
    <t>06:02</t>
  </si>
  <si>
    <t>Світом керує бидлота.</t>
  </si>
  <si>
    <t>Михайло Білусяк</t>
  </si>
  <si>
    <t>05:59</t>
  </si>
  <si>
    <t>Тому і не хочуть ,щоб війна закінчилась ,де будуть збагачуватись . Злодії коли будуть покарані ?</t>
  </si>
  <si>
    <t>Марія Тузяк</t>
  </si>
  <si>
    <t>Т</t>
  </si>
  <si>
    <t>05:56</t>
  </si>
  <si>
    <t>Pavlo Drobyshev</t>
  </si>
  <si>
    <t>05:54</t>
  </si>
  <si>
    <t>В Маямі за такі кошти можна лиш купить собачу будку .Спочатку дізнайтесь Скильки коштує вМаямі  апартаменти.</t>
  </si>
  <si>
    <t>Сергій Брик</t>
  </si>
  <si>
    <t>Твари</t>
  </si>
  <si>
    <t>Марина Вольченко</t>
  </si>
  <si>
    <t>Свобода рулить..</t>
  </si>
  <si>
    <t>Ihor Shevaha</t>
  </si>
  <si>
    <t>ihor.shevaha.5</t>
  </si>
  <si>
    <t>05:41</t>
  </si>
  <si>
    <t>Видно ,кому вигідна війна</t>
  </si>
  <si>
    <t>05:37</t>
  </si>
  <si>
    <t>Iryna Prodan</t>
  </si>
  <si>
    <t>iryna.proshu</t>
  </si>
  <si>
    <t>05:34</t>
  </si>
  <si>
    <t>Тетяна Шуть</t>
  </si>
  <si>
    <t>05:31</t>
  </si>
  <si>
    <t>Злодії збагачуються а народ позапхав носа в одне місце і сопе в дві дирки....а потім - "ох він купив"....</t>
  </si>
  <si>
    <t>Leoniba Tarasiyk</t>
  </si>
  <si>
    <t>05:25</t>
  </si>
  <si>
    <t>Vitalii Dufanets</t>
  </si>
  <si>
    <t>vitalii.dufanets</t>
  </si>
  <si>
    <t>05:10</t>
  </si>
  <si>
    <t>Yuri Lyt</t>
  </si>
  <si>
    <t>FromDenver</t>
  </si>
  <si>
    <t>05:01</t>
  </si>
  <si>
    <t>Wy not?😂</t>
  </si>
  <si>
    <t>Андрей Соколан</t>
  </si>
  <si>
    <t>04:56</t>
  </si>
  <si>
    <t>Молодчага, нікого не посадять</t>
  </si>
  <si>
    <t>Леонид Гришин</t>
  </si>
  <si>
    <t>04:47</t>
  </si>
  <si>
    <t>Слуги народа блядь… Тимур и его команда. С 91-го года блядь страна с коррупцией борется и всё никак не поборет. То есть ещё лет 50 можно бороться как минимум. И войну можно продолжать до бесконечности чтобы денежные потоки с запада не прекращались. Говорят за последний год российские миллиардеры увеличили свое состояние на 19 000 000 000. Интересно посмотреть эти цифры по украинским богатым буратинам.￼
Донька мера Тернополя купила маєток в Маямі за майже 2 млн доларів.
Вілла Анастасії Надал знаходиться в одному з найпрестижніших районів Маямі Coral Gables і офорлена на чоловіка Рубена Родрігеса. Офіційних доходів для придбання такої нерухомості у чоловіка не було.
Крім того, Надал придбала апартаменти у Маямі за 380 тисяч доларів також без підтвердження доходів.
НАБУ і САП відкрили провадження щодо незаконного збагачення Сергія Надала, але справа чомусь заглохла. Чому?</t>
  </si>
  <si>
    <t>Стас Кор</t>
  </si>
  <si>
    <t>04:46</t>
  </si>
  <si>
    <t>Слуги народа блядь… Тимур и его команда. С 91-го года блядь страна с коррупцией борется и всё никак не поборет. То есть ещё лет 50 можно бороться как минимум. И войну можно продолжать до бесконечности чтобы денежные потоки с запада не прекращались. Говорят за последний год российские миллиардеры увеличили свое состояние на 19 000 000 000. Интересно посмотреть эти цифры по украинским богатым буратинам.￼</t>
  </si>
  <si>
    <t>Ст. Кор</t>
  </si>
  <si>
    <t>Lidiya Staford</t>
  </si>
  <si>
    <t>Алабама</t>
  </si>
  <si>
    <t>Florence</t>
  </si>
  <si>
    <t>04:34</t>
  </si>
  <si>
    <t>Только один? 
Бабушка подарила</t>
  </si>
  <si>
    <t>Наталия Розмарица</t>
  </si>
  <si>
    <t>Li Sa</t>
  </si>
  <si>
    <t>Манітоба</t>
  </si>
  <si>
    <t>Вінніпег</t>
  </si>
  <si>
    <t>04:26</t>
  </si>
  <si>
    <t>Майже за 2 млн доларів донька мера Тернополя купила маєток у Маямі
Нова вілла Анастасії Надал знаходиться в одному з найпрестижніших районів Маямі Coral Gables і оформлена на чоловіка Рубена Родрігеса. Офіційних доходів для придбання такої нерухомості в чоловіка не було.
Крім того, Надал придбала апартаменти у Маямі за 380 тисяч доларів також без підтвердження доходів.</t>
  </si>
  <si>
    <t>Зображення,Текст,Альбоми</t>
  </si>
  <si>
    <t>Іван Паскевич</t>
  </si>
  <si>
    <t>ipaskevich</t>
  </si>
  <si>
    <t>threads.net</t>
  </si>
  <si>
    <t>04:14</t>
  </si>
  <si>
    <t>Коли ж ви вже суки нажретесь,вдавдяться цими грошима...</t>
  </si>
  <si>
    <t>Нина Ванюшина</t>
  </si>
  <si>
    <t>04:10</t>
  </si>
  <si>
    <t>А за які гроші під час війни</t>
  </si>
  <si>
    <t>Валентина Миколаївна Бондар</t>
  </si>
  <si>
    <t>04:03</t>
  </si>
  <si>
    <t>Молодець, тільки так. По багатому</t>
  </si>
  <si>
    <t>Леся Сахнюк</t>
  </si>
  <si>
    <t>Хмільник</t>
  </si>
  <si>
    <t>03:46</t>
  </si>
  <si>
    <t>Лида! Ты уже прямо к каждой мелочи цепляешься 🤣 А ведь все заработано непосильным трудом! Справка: Тернополь - Население 200 тысяч человек ( городок)…</t>
  </si>
  <si>
    <t>Svetlana Moiseyeva</t>
  </si>
  <si>
    <t>svetlana.moiseyeva.3</t>
  </si>
  <si>
    <t>Массачусетс</t>
  </si>
  <si>
    <t>Бостон</t>
  </si>
  <si>
    <t>Всі вони жеруть з одного корита</t>
  </si>
  <si>
    <t>Любов Грицак</t>
  </si>
  <si>
    <t>03:40</t>
  </si>
  <si>
    <t>Елена Лисецкая</t>
  </si>
  <si>
    <t>03:05</t>
  </si>
  <si>
    <t>Може ще й бабуся допомогла</t>
  </si>
  <si>
    <t>Олександра Воронюк</t>
  </si>
  <si>
    <t>Болгарська</t>
  </si>
  <si>
    <t>Волочиськ</t>
  </si>
  <si>
    <t>03:00</t>
  </si>
  <si>
    <t>Донька мера Тернополя Сергія Надала придбала віллу майже за 2 млн доларів в престижному районі Маямі Coral Gables. 
Нерухомість оформлена на її чоловіка Рубена Родрігеса, офіційних доходів для такої покупки у нього не зафіксовано. ...
Продовження тут https://t.me/ ITVh1Nv1FBVlMWVi</t>
  </si>
  <si>
    <t>Олександр Тарасюк</t>
  </si>
  <si>
    <t>veseluk_44</t>
  </si>
  <si>
    <t>02:56</t>
  </si>
  <si>
    <t>Мирный Житель</t>
  </si>
  <si>
    <t>Zap0rozhets</t>
  </si>
  <si>
    <t>02:51</t>
  </si>
  <si>
    <t>Наталія Добровольська , мер добре знає знає табличку ділення… ( а вже у подальшому у нього вийшло множення ( своїх статків))….</t>
  </si>
  <si>
    <t>Natalia Okrukova Kotlyarska</t>
  </si>
  <si>
    <t>natalia.okrukova</t>
  </si>
  <si>
    <t>Мадрид</t>
  </si>
  <si>
    <t>02:50</t>
  </si>
  <si>
    <t>Такі потужні мовні патріоти , будуть відмиватися від всього українського у басейні</t>
  </si>
  <si>
    <t>Katrina Dudnik</t>
  </si>
  <si>
    <t>Спрингфілд</t>
  </si>
  <si>
    <t>02:48</t>
  </si>
  <si>
    <t>А говорят что мы плохо живём оказывается хорошо, а мы и не знали. Вот пенсии на сто гривен добавят и тоже в Майами куплю себе виллу!</t>
  </si>
  <si>
    <t>Роман Пакин</t>
  </si>
  <si>
    <t>Карлівка</t>
  </si>
  <si>
    <t>02:43</t>
  </si>
  <si>
    <t>Тамара Ботюк</t>
  </si>
  <si>
    <t>02:42</t>
  </si>
  <si>
    <t>Наші МЕРИ САМІ ЧЕСНІ ЛЮДИ. Вони завжди вибирають себе на 20 років, не менше.</t>
  </si>
  <si>
    <t>Bohdan Mazur</t>
  </si>
  <si>
    <t>boda.mazur</t>
  </si>
  <si>
    <t>Альберта</t>
  </si>
  <si>
    <t>Едмонтон</t>
  </si>
  <si>
    <t>Счастья любви благополучия Те авэс бахталó</t>
  </si>
  <si>
    <t>Dmytro Repik</t>
  </si>
  <si>
    <t>02:40</t>
  </si>
  <si>
    <t>Merl Lin</t>
  </si>
  <si>
    <t>MerlLin88567357</t>
  </si>
  <si>
    <t>Танюша Бортяна</t>
  </si>
  <si>
    <t>02:37</t>
  </si>
  <si>
    <t>Ання Позняк</t>
  </si>
  <si>
    <t>02:36</t>
  </si>
  <si>
    <t>А де заробила такі величезні гроші яка залата в мера</t>
  </si>
  <si>
    <t>Надя Козак</t>
  </si>
  <si>
    <t>02:33</t>
  </si>
  <si>
    <t>Що це за кампанія по дискредитації патріотів України ? 
У Тернополі живуть файні хлопці патріоти своєї країни, не потрібно наговорювати !</t>
  </si>
  <si>
    <t>Eduard Ivanov</t>
  </si>
  <si>
    <t>Oksana Nalyikavy Так. Ваша правда. Але під час цієї війни, вони збагатилися ще більше.</t>
  </si>
  <si>
    <t>Лариса Лариса</t>
  </si>
  <si>
    <t>Галич</t>
  </si>
  <si>
    <t>02:29</t>
  </si>
  <si>
    <t>С каких пор это стало проблемой? Не смешите общем по которое в курсе.</t>
  </si>
  <si>
    <t>Sergey Stoyanov</t>
  </si>
  <si>
    <t>02:28</t>
  </si>
  <si>
    <t>На лікарні нехай служать ті гроші їм і їхнім вишкребкам</t>
  </si>
  <si>
    <t>Mariya Mytnyk</t>
  </si>
  <si>
    <t>Та то хуйня.
Всі вони такі.
Одним гімном мащені 🫣😕😕</t>
  </si>
  <si>
    <t>Коли здохнете Бидлота зелена??</t>
  </si>
  <si>
    <t>Halyna Ferenchuk</t>
  </si>
  <si>
    <t>Мічиган</t>
  </si>
  <si>
    <t>Brooklyn</t>
  </si>
  <si>
    <t>02:11</t>
  </si>
  <si>
    <t>Мирослава Шалева</t>
  </si>
  <si>
    <t>kolia nikolaj</t>
  </si>
  <si>
    <t>KoliaNikolaj</t>
  </si>
  <si>
    <t>02:09</t>
  </si>
  <si>
    <t>Любов Шкарапа</t>
  </si>
  <si>
    <t>02:05</t>
  </si>
  <si>
    <t>І це тільки мер, всього навсього😡а ви прості хлопці і дівчата вмирайте на війні,щоб ці тв.рі далі могли красти 😡</t>
  </si>
  <si>
    <t>Zhanna Kaszynska</t>
  </si>
  <si>
    <t>zhanna.kaszynska</t>
  </si>
  <si>
    <t>02:04</t>
  </si>
  <si>
    <t>Дійсно, досить "заздрити"!!! Всі родичі вже прокоментували??? Цікаво, а ДЕ такі гроші можна заробити?</t>
  </si>
  <si>
    <t>Наталія Добровольська</t>
  </si>
  <si>
    <t>Від роботи стерла руки по плечі за що купила собі таку хату￼</t>
  </si>
  <si>
    <t>Vira Vynokurova</t>
  </si>
  <si>
    <t>02:03</t>
  </si>
  <si>
    <t>Тато молодець
І я хочу для донькі 
Підкажіть як стати мером</t>
  </si>
  <si>
    <t>Анатолій Лазарєв</t>
  </si>
  <si>
    <t>01:58</t>
  </si>
  <si>
    <t>Михаил Фрунзе</t>
  </si>
  <si>
    <t>MihailFrunze1</t>
  </si>
  <si>
    <t>01:53</t>
  </si>
  <si>
    <t>Більшість українських  чиновників розглядають Україну як джерело збагачення, а родини, синів -дочок відправляють на прожиття за кордон. Умєров, Садовий... Продовжуйте список</t>
  </si>
  <si>
    <t>Hab Nadia</t>
  </si>
  <si>
    <t>hab.nadia.3</t>
  </si>
  <si>
    <t>01:52</t>
  </si>
  <si>
    <t>леонид хожанов</t>
  </si>
  <si>
    <t>Кому війна кому заробіток</t>
  </si>
  <si>
    <t>Дмитро Калинюк</t>
  </si>
  <si>
    <t>ukr888</t>
  </si>
  <si>
    <t>01:51</t>
  </si>
  <si>
    <t>Заробила в Тернополі гроші  і купила не треба заздрити</t>
  </si>
  <si>
    <t>Лариса Онищук</t>
  </si>
  <si>
    <t>Валенсія</t>
  </si>
  <si>
    <t>01:47</t>
  </si>
  <si>
    <t>Fuck them big time.</t>
  </si>
  <si>
    <t>Tanya Saladino</t>
  </si>
  <si>
    <t>01:45</t>
  </si>
  <si>
    <t>Знає табличку ділення</t>
  </si>
  <si>
    <t>Тарас Труш</t>
  </si>
  <si>
    <t>01:40</t>
  </si>
  <si>
    <t>Зовсім не дивно....зараз мери мільярдери...простий народ батраки....</t>
  </si>
  <si>
    <t>Антоніна Карпук</t>
  </si>
  <si>
    <t>01:36</t>
  </si>
  <si>
    <t>Бджілка</t>
  </si>
  <si>
    <t>NatashaLeskova2</t>
  </si>
  <si>
    <t>Сиджу і дивлюся.. ,..</t>
  </si>
  <si>
    <t>kniga555</t>
  </si>
  <si>
    <t>Ірландія</t>
  </si>
  <si>
    <t>01:35</t>
  </si>
  <si>
    <t>Ця гнила пластінка грае вже 4 роки, кожен хоровий гамноблогер хоче зробити сенсацію</t>
  </si>
  <si>
    <t>Taras Bas</t>
  </si>
  <si>
    <t>taras.bas.7</t>
  </si>
  <si>
    <t>01:32</t>
  </si>
  <si>
    <t>Sergio Mowchan</t>
  </si>
  <si>
    <t>01:31</t>
  </si>
  <si>
    <t>Лариса Лариса та кожний можновладець став місіонером і до війни. Це відбувається ще з 91 року</t>
  </si>
  <si>
    <t>Oksana Nalyikavy</t>
  </si>
  <si>
    <t>Нема в він коштів на багатшу хату шось мало вкрав бо хатина дуже бідна і скромна як на Маямі якась стодола. Смак на жаль за гроші не купиш а особливо інтелігентність</t>
  </si>
  <si>
    <t>01:29</t>
  </si>
  <si>
    <t>Так а що ? Не можете так ? То чому заздрити ?</t>
  </si>
  <si>
    <t>Сергей Походня</t>
  </si>
  <si>
    <t>01:28</t>
  </si>
  <si>
    <t>Чому вони не в буцегарні?</t>
  </si>
  <si>
    <t>Віталій Прокопчук</t>
  </si>
  <si>
    <t>01:24</t>
  </si>
  <si>
    <t>Такі суми НАБУ не  інтересують , поки 😟</t>
  </si>
  <si>
    <t>Олег Шайнюк</t>
  </si>
  <si>
    <t>Windsor</t>
  </si>
  <si>
    <t>01:22</t>
  </si>
  <si>
    <t>Владимир Лобеко</t>
  </si>
  <si>
    <t>vladimirlobeko</t>
  </si>
  <si>
    <t>01:21</t>
  </si>
  <si>
    <t>Наталія Петканич</t>
  </si>
  <si>
    <t>Довжанська громада</t>
  </si>
  <si>
    <t>Довге</t>
  </si>
  <si>
    <t>01:19</t>
  </si>
  <si>
    <t>Tetiana Mozhaeva  нажаль не ті часи . 36 років чекаємо ….</t>
  </si>
  <si>
    <t>Victor Ars</t>
  </si>
  <si>
    <t>victor.arshynov</t>
  </si>
  <si>
    <t>Cas Kiop</t>
  </si>
  <si>
    <t>KiopCas</t>
  </si>
  <si>
    <t>01:18</t>
  </si>
  <si>
    <t>Вибачте пиздіть тут скільки хочете! А ці тварі і далі будуть пиздити ваші гроші Мародери!</t>
  </si>
  <si>
    <t>Володимир Лук'янчук</t>
  </si>
  <si>
    <t>01:17</t>
  </si>
  <si>
    <t>Ruslan Doro</t>
  </si>
  <si>
    <t>OrakulDoro</t>
  </si>
  <si>
    <t>01:16</t>
  </si>
  <si>
    <t>Невже це кончене не має управи на них!</t>
  </si>
  <si>
    <t>01:15</t>
  </si>
  <si>
    <t>Inna Shestopalova</t>
  </si>
  <si>
    <t>inna.shestopalova.98</t>
  </si>
  <si>
    <t>Запорізька область</t>
  </si>
  <si>
    <t>Мелітополь</t>
  </si>
  <si>
    <t>Сметанат борщу</t>
  </si>
  <si>
    <t>SmetanatBorschu</t>
  </si>
  <si>
    <t>01:13</t>
  </si>
  <si>
    <t>Inna  Regotun</t>
  </si>
  <si>
    <t>regotuninna</t>
  </si>
  <si>
    <t>01:12</t>
  </si>
  <si>
    <t>Нічого дивного,хлопці гинуть,цвіт нації,а хтось збагачується.Коли ці потвори   будуть відповідати за ці злочини?</t>
  </si>
  <si>
    <t>Polischuk Viktoriya</t>
  </si>
  <si>
    <t>polischuk.viktoriya.9</t>
  </si>
  <si>
    <t>Космівка</t>
  </si>
  <si>
    <t>01:07</t>
  </si>
  <si>
    <t>01:06</t>
  </si>
  <si>
    <t>Тому, що набу і сап, також люблять маєтки в Маямі…</t>
  </si>
  <si>
    <t>Людмила Залевська</t>
  </si>
  <si>
    <t>01:05</t>
  </si>
  <si>
    <t>MrBigjktu</t>
  </si>
  <si>
    <t>bigjktu</t>
  </si>
  <si>
    <t>Естонія</t>
  </si>
  <si>
    <t>Нудить від них...</t>
  </si>
  <si>
    <t>Ludmila  Labazevich</t>
  </si>
  <si>
    <t>ludmila.labazevich</t>
  </si>
  <si>
    <t>01:02</t>
  </si>
  <si>
    <t>Вот кому добре живеться шакали</t>
  </si>
  <si>
    <t>Марія Коваль</t>
  </si>
  <si>
    <t>Oluchka</t>
  </si>
  <si>
    <t>olga4133</t>
  </si>
  <si>
    <t>01:01</t>
  </si>
  <si>
    <t>losstar</t>
  </si>
  <si>
    <t>UrKarat</t>
  </si>
  <si>
    <t>00:59</t>
  </si>
  <si>
    <t>madness continues</t>
  </si>
  <si>
    <t>taras_terry</t>
  </si>
  <si>
    <t>Вони ж не доторкані їм можна дорогі віли,будинки,автомобілі,годинники,а 
люди не можуть собі комуналку оплатити,їжу купити з ліками.
І скільки такої блядоти розплодилося</t>
  </si>
  <si>
    <t>Deny Dumaylo</t>
  </si>
  <si>
    <t>deny.dumaylo</t>
  </si>
  <si>
    <t>Стебник</t>
  </si>
  <si>
    <t>І що, як з гуся вода, жодна мерзота не була покарана, тому це і процвітає - всі мріють дорватися до кормушки і тоді - життя вдалося.</t>
  </si>
  <si>
    <t>Nadiya Malyarchuk</t>
  </si>
  <si>
    <t>The Municipal District of Navan</t>
  </si>
  <si>
    <t>00:50</t>
  </si>
  <si>
    <t>Оху...   ось де захист кордону</t>
  </si>
  <si>
    <t>Жанна Волкова</t>
  </si>
  <si>
    <t>00:49</t>
  </si>
  <si>
    <t>Роман Шендера</t>
  </si>
  <si>
    <t>Що це робиться у цій Україні,одні корупціонери,в кожному місті,в кожному селі,області,слів немає,один жах🙈</t>
  </si>
  <si>
    <t>Oksana Beysyuk</t>
  </si>
  <si>
    <t>00:46</t>
  </si>
  <si>
    <t>Kurwy jebane ludzie na całym świecie się składają a te szmaty kroją kiedy wy się kurwy już Nazarecie jebane szmaty</t>
  </si>
  <si>
    <t>Szakiur Szakirowski</t>
  </si>
  <si>
    <t>jurek.jatseiko</t>
  </si>
  <si>
    <t>Польська</t>
  </si>
  <si>
    <t>😂</t>
  </si>
  <si>
    <t>Shtefutsa Ivan</t>
  </si>
  <si>
    <t>00:45</t>
  </si>
  <si>
    <t>Виктор Новиков</t>
  </si>
  <si>
    <t>angelukrainenvb</t>
  </si>
  <si>
    <t>00:43</t>
  </si>
  <si>
    <t>Саша Бондаренко</t>
  </si>
  <si>
    <t>00:39</t>
  </si>
  <si>
    <t>Яка багата Україна ...а на дрони жебракує</t>
  </si>
  <si>
    <t>Maryna Mazurova</t>
  </si>
  <si>
    <t>maryna.mazurova</t>
  </si>
  <si>
    <t>Toblach - Dobbiaco</t>
  </si>
  <si>
    <t>Їх вішати треба всіх ,хто краде безбожно під час Війни,коли люди останні відають із пенсії мізерної і потім голодують ,бо люди знають ,що таке Війна ,голод ,холод ,а їм Війни не має !
Що твориться в Україні,ще при жодному президенту ,які раніше були такого без приделу я не помню ,це вже зашкалює ,звідки такі кошти,це людські !!!!</t>
  </si>
  <si>
    <t>Valentina Valentina</t>
  </si>
  <si>
    <t>Шевченківське</t>
  </si>
  <si>
    <t>00:38</t>
  </si>
  <si>
    <t>Nik  Nikolas</t>
  </si>
  <si>
    <t>00:37</t>
  </si>
  <si>
    <t>Кузякіна</t>
  </si>
  <si>
    <t>Kuzakina2</t>
  </si>
  <si>
    <t>00:36</t>
  </si>
  <si>
    <t>Evgen Matsko</t>
  </si>
  <si>
    <t>evgen.matsko</t>
  </si>
  <si>
    <t>Нью-Йорк</t>
  </si>
  <si>
    <t>Молодець, тяжко працював і взагалі хто на що навчався і грошики самі до них липнуть а хто нам винуватий що пенсії малі, що хворіємо і не вистачає на дорогущі ліки ( в аптеку як зайдеш вийдеш  без пенсія), і взагалі що наші будинки розбиті, що наші діти на війні , це як два світи для багатих і бідних і куди не глянь усі як не депутат так чиновник і усі  мільярдери .</t>
  </si>
  <si>
    <t>Наташа Сёмина</t>
  </si>
  <si>
    <t>Очаків</t>
  </si>
  <si>
    <t>Гоніть в шию цих хапуг</t>
  </si>
  <si>
    <t>Ірина Квіткова</t>
  </si>
  <si>
    <t>00:32</t>
  </si>
  <si>
    <t>Ну в маямі балістика недолітає....це вже прийшло покращення,лиш не для всіх,нажаль...</t>
  </si>
  <si>
    <t>Роман Волошенюк</t>
  </si>
  <si>
    <t>00:31</t>
  </si>
  <si>
    <t>Tetiana Mozhaeva ХТО відбере?</t>
  </si>
  <si>
    <t>Ольга Мельник</t>
  </si>
  <si>
    <t>Відкрити відкрили. А результати які будуть?</t>
  </si>
  <si>
    <t>Oles Khlan</t>
  </si>
  <si>
    <t>oles.khlan</t>
  </si>
  <si>
    <t>Іванків</t>
  </si>
  <si>
    <t>00:30</t>
  </si>
  <si>
    <t>Під час війни..наживаються..злодіїїїї</t>
  </si>
  <si>
    <t>Nadia Lubov</t>
  </si>
  <si>
    <t>nadia.lubov.3</t>
  </si>
  <si>
    <t>Донька мера Тернополя купила маєток в Маямі за майже 2 млн доларів.
Вілла Анастасії Надал знаходиться в одному з найпрестижніших районів Маямі Coral Gables і офорлена на чоловіка Рубена Родрігеса. Офіційних доходів для придбання такої нерухомості у чоловіка не було.
Крім того, Надал придбала апартаменти у Маямі за 380 тисяч доларів також без підтвердження доходів.
НАБУ і САП навіть відкрили провадження щодо незаконного збагачення Сергія Надала, але справа чомусь заглохла. Чому?</t>
  </si>
  <si>
    <t>Lyudmyla Gulik</t>
  </si>
  <si>
    <t>lyudmylagulik</t>
  </si>
  <si>
    <t>00:28</t>
  </si>
  <si>
    <t>Може йому бабушка в гаражі спадок лишила?</t>
  </si>
  <si>
    <t>Андрей Васильевич Скотаренко</t>
  </si>
  <si>
    <t>00:26</t>
  </si>
  <si>
    <t>О як в Тернополі заробляють. Туди на заробітки треба їхати,а не в Європу.</t>
  </si>
  <si>
    <t>Svetlana Shelevei</t>
  </si>
  <si>
    <t>Кожен можновладець став мультимільйонер за час війни. Тому вони всі моляться, щоб вона продовжувалася якнайдовше.</t>
  </si>
  <si>
    <t>00:24</t>
  </si>
  <si>
    <t>Вони всі так живуть. А війна зробила їх мультимільйонерами. Головний лікар в Галичі скупив нерухомість в Чехії, Іспанії.</t>
  </si>
  <si>
    <t>00:23</t>
  </si>
  <si>
    <t>Леся Дучимінська</t>
  </si>
  <si>
    <t>lesya1533</t>
  </si>
  <si>
    <t>00:21</t>
  </si>
  <si>
    <t>Давно пора потрясти цього лисого хуйла заєбали ці ворюги кончені</t>
  </si>
  <si>
    <t>nik.nikolas.77</t>
  </si>
  <si>
    <t>yriyyankiv1978@gmail</t>
  </si>
  <si>
    <t>yriyyankiv1978</t>
  </si>
  <si>
    <t>00:20</t>
  </si>
  <si>
    <t>Отим всім мерам,депутатам ,які крадуть( а це видно по рівню та образу їх життя)-- розстріл або пожиттєво з конфіскацією!!!!!</t>
  </si>
  <si>
    <t>Рая Рыбак</t>
  </si>
  <si>
    <t>Лозова</t>
  </si>
  <si>
    <t>00:19</t>
  </si>
  <si>
    <t>Мер Тернополя пограбував Тернополян. 
Яка дивина!
Справедливо буде сказати –– мери українських міст пограбували мешканців своїх міст.
Усі. Кожен. Без винятків.
І сіл – теж.
І продовжують грабувати ще більше, користуючись воєнним станом, який дає безкарність і безвідповдальність в справі пограбунку.
Донька мера Тернополя Сергія Надала придбала віллу майже за 2 млн доларів в престижному районі Маямі Coral Gables. 
Нерухомість оформлена на її чоловіка Рубена Родрігеса, офіційних доходів для такої покупки у нього не зафіксовано. ...
Продовження тут https://t.me/ ITVh1Nv1FBVlMWVi</t>
  </si>
  <si>
    <t>!!! FREEDOM!!!</t>
  </si>
  <si>
    <t>svoboda19254</t>
  </si>
  <si>
    <t>00:18</t>
  </si>
  <si>
    <t>Чому?Дайте здогадаюсь?Вкрав стільки, що поділився зі всіма сповна. Стара перевірена схема! Працює безвідказно!  Головне лишитися біля корита!!!</t>
  </si>
  <si>
    <t>Вася Невідомий</t>
  </si>
  <si>
    <t>fitsula</t>
  </si>
  <si>
    <t>San Leo</t>
  </si>
  <si>
    <t>Aleksandr</t>
  </si>
  <si>
    <t>Aleksan06713208</t>
  </si>
  <si>
    <t>Майже за 2 млн доларів донька мера Тернополя купила маєток у Маямі
Нова вілла Анастасії Надал знаходиться в одному з найпрестижніших районів Маямі Coral Gables і оформлена на чоловіка Рубена Родрігеса. Офіційних доходів для придбання такої нерухомості в чоловіка не було.
Крім того, Надал придбала апартаменти у Маямі за 380 тисяч доларів.</t>
  </si>
  <si>
    <t>Валерия Амелина</t>
  </si>
  <si>
    <t>00:15</t>
  </si>
  <si>
    <t>00:10</t>
  </si>
  <si>
    <t>00:07</t>
  </si>
  <si>
    <t>Різник/Riznyk</t>
  </si>
  <si>
    <t>Pavlo_Riznykkk</t>
  </si>
  <si>
    <t>News Ukraine 24/7 🇺🇦</t>
  </si>
  <si>
    <t>NnewsUkraine24</t>
  </si>
  <si>
    <t>00:01</t>
  </si>
  <si>
    <t>Багаті українці з бідної України...
Обдирають щиро Україну !!!</t>
  </si>
  <si>
    <t>Руслана Воськало</t>
  </si>
  <si>
    <t>Oksana Kononova 👍</t>
  </si>
  <si>
    <t>Marina Richter</t>
  </si>
  <si>
    <t>27.02.2026</t>
  </si>
  <si>
    <t>👍🔥</t>
  </si>
  <si>
    <t>Мешти Ж</t>
  </si>
  <si>
    <t>meshtyjoj</t>
  </si>
  <si>
    <t>23:58</t>
  </si>
  <si>
    <t>Вітаємо мера Тернопіля👍🤝
Донька мера Тернополя Сергія Надала придбала віллу майже за 2 млн доларів в престижному районі Маямі Coral Gables. 
Нерухомість оформлена на її чоловіка Рубена Родрігеса, офіційних доходів для такої покупки у нього не зафіксовано. ...
Продовження тут https://t.me/ ITVh1Nv1FBVlMWVi</t>
  </si>
  <si>
    <t>Grigoriy</t>
  </si>
  <si>
    <t>Gr095477</t>
  </si>
  <si>
    <t>23:55</t>
  </si>
  <si>
    <t>Elena Popova занесли еще два куда надо</t>
  </si>
  <si>
    <t>Oleksandr Linnyk</t>
  </si>
  <si>
    <t>oleksandr.linnyk.7</t>
  </si>
  <si>
    <t>Краків</t>
  </si>
  <si>
    <t>23:52</t>
  </si>
  <si>
    <t>23:50</t>
  </si>
  <si>
    <t>foerbars</t>
  </si>
  <si>
    <t>23:49</t>
  </si>
  <si>
    <t>Тварі голодні. Тут гордість чужих сліз, перед Господом буде страждання</t>
  </si>
  <si>
    <t>Оксана Шимко</t>
  </si>
  <si>
    <t>Albiate</t>
  </si>
  <si>
    <t>СПРОТИВ САРНИ</t>
  </si>
  <si>
    <t>sarnysprotiv</t>
  </si>
  <si>
    <t>Іра Арсенич</t>
  </si>
  <si>
    <t>Антон Кизилов</t>
  </si>
  <si>
    <t>AntonKizsl3244</t>
  </si>
  <si>
    <t>23:43</t>
  </si>
  <si>
    <t>Matilda</t>
  </si>
  <si>
    <t>Matilda31994897</t>
  </si>
  <si>
    <t>23:42</t>
  </si>
  <si>
    <t>D-Energy</t>
  </si>
  <si>
    <t>Dynatron_Power</t>
  </si>
  <si>
    <t>23:38</t>
  </si>
  <si>
    <t>Супер😡</t>
  </si>
  <si>
    <t>23:36</t>
  </si>
  <si>
    <t>👀 Донька мера Тернополя Сергія Надала придбала нерухомість у США на мільйони доларів, — ЗМІ
⭕️Йдеться про віллу майже за $2 млн у престижному районі Coral Gables, а також апартаменти вартістю $380 тисяч.
⭕️За даними журналістів, офіційних доходів, які б дозволили такі покупки, не зафіксовано. 
⭕️Раніше НАБУ та САП розслідували можливе незаконне збагачення міського голови.
Без Фільтрів | Підписатись</t>
  </si>
  <si>
    <t>Тетяна Шакула</t>
  </si>
  <si>
    <t>Долинська</t>
  </si>
  <si>
    <t>Чому і ні лохи на фронт міліарди краснодипломщикам 
Люди ми на Україні такі наівні нас закрили від ЕС з рф іде війна підар можновладець міліонери всі хто ви??????</t>
  </si>
  <si>
    <t>Тор Зевс</t>
  </si>
  <si>
    <t>23:32</t>
  </si>
  <si>
    <t>БРАВО мер!!!!! НАКРАВ грошей у своїх людей ,а доньці купив маєток. Щоб він їй завалився.</t>
  </si>
  <si>
    <t>Галина Святына-Плохута</t>
  </si>
  <si>
    <t>23:30</t>
  </si>
  <si>
    <t>23:29</t>
  </si>
  <si>
    <t>Михайло Старіков</t>
  </si>
  <si>
    <t>starikovm</t>
  </si>
  <si>
    <t>Ростовська область</t>
  </si>
  <si>
    <t>Новочеркаськ</t>
  </si>
  <si>
    <t>Суперово, щирий  українець у вишиванці  !!!!!!!!</t>
  </si>
  <si>
    <t>Александр Тимошенко</t>
  </si>
  <si>
    <t>23:27</t>
  </si>
  <si>
    <t>Нехер було голосувати за нього, яушо не знаете хто він, а тепер гмовчить</t>
  </si>
  <si>
    <t>Ігор Андрусік</t>
  </si>
  <si>
    <t>Як всім хабарникам війна на руку.</t>
  </si>
  <si>
    <t>Лідія Луць</t>
  </si>
  <si>
    <t>Parma Heights</t>
  </si>
  <si>
    <t>zostpost</t>
  </si>
  <si>
    <t>23:26</t>
  </si>
  <si>
    <t>Факти ті ,що ми нічого не можемо зробити!! Хто був багатий став богаче, хто був бідний, ще бідніше!!! Пенсіонери на 3700 за коммуналка, та аптека,а їсти нету!!! Все по плану!</t>
  </si>
  <si>
    <t>Светлана Михайлив</t>
  </si>
  <si>
    <t>23:25</t>
  </si>
  <si>
    <t>Ігор Андрусік так хто ж знав що воно таке гниле душею.</t>
  </si>
  <si>
    <t>Людмила Голик</t>
  </si>
  <si>
    <t>23:24</t>
  </si>
  <si>
    <t>Перевірте мерів всіх областей не тільки Тернополя і всіх голів сіл, які так,,чудово'' працюють</t>
  </si>
  <si>
    <t>Слава Сулим</t>
  </si>
  <si>
    <t>Slava Snevsnyk хто їх має судить???вони себе садить не будуть. Ми маємооо це робить</t>
  </si>
  <si>
    <t>Зіновія Вашай</t>
  </si>
  <si>
    <t>23:23</t>
  </si>
  <si>
    <t>Natalya Dmytryk</t>
  </si>
  <si>
    <t>23:22</t>
  </si>
  <si>
    <t>В тюрму, де блядь такі гроші можна заробить суки, скільки років їй  .скільки вже можна терпіти це блядство.просто обкрадають ці тварюки нас а ми все хаваєм Ми ходим так само на роботу як ці тварюки але нехуя не маєм вибачте за мат</t>
  </si>
  <si>
    <t>Купляють маєтки за крадені гроші і навіть не соромляться!!! Це повне дно!!!</t>
  </si>
  <si>
    <t>Таня Долгій</t>
  </si>
  <si>
    <t>Бідодаги,бідують,перериваються ледь,ледь,на чесно зароблену мізерну зарплатню,які ж вони бідні</t>
  </si>
  <si>
    <t>Игнатовец Юрий</t>
  </si>
  <si>
    <t>Марина</t>
  </si>
  <si>
    <t>Marina59269252</t>
  </si>
  <si>
    <t>Анастасія</t>
  </si>
  <si>
    <t>Ukrainian61288</t>
  </si>
  <si>
    <t>Нарешті почали писати те, про що я пишу вже 7 років. Донька мера Тернополя від партії Сволота Сергія Надала, друга та</t>
  </si>
  <si>
    <t>саша не такой, живе на хлібі і воді, луддший</t>
  </si>
  <si>
    <t>Андре Полугар</t>
  </si>
  <si>
    <t>20-14 Вільний Проскурів</t>
  </si>
  <si>
    <t>23:18</t>
  </si>
  <si>
    <t>Larissa  Jantsch</t>
  </si>
  <si>
    <t>larissa.jantsch.90</t>
  </si>
  <si>
    <t>Та їх треба рвати...</t>
  </si>
  <si>
    <t>Lev Karpak</t>
  </si>
  <si>
    <t>От який"щирий"хамелеончик у вишиванці,і щічки як у хом'яка,а дочка з претензіями,чому б ні, як все тут можливе,якщо ти біля корита,головне не упустити момент</t>
  </si>
  <si>
    <t>Olga Borshchak</t>
  </si>
  <si>
    <t>Стрий</t>
  </si>
  <si>
    <t>23:17</t>
  </si>
  <si>
    <t>Вілла в Маямі за 2 мільйони доларів: донька мера Тернополя Сергія Надала оселилася в елітному районі США під час війни
Поки в Україні війна, донька мера Тернополя Сергія Надала купує розкішну віллу за майже 2 млн доларів у престижному районі Маямі — Coral Gables.
https://antikor.info/articles/823341-villa_v_majami_za_2_milliona_dollarov_dochj_mera_ternopolja_sergeja_nadala_obosnovalasj_v_elitnom_rajone_sa_vo_vremja_vojny</t>
  </si>
  <si>
    <t>Квита Костевич</t>
  </si>
  <si>
    <t>Ганичі</t>
  </si>
  <si>
    <t>23:11</t>
  </si>
  <si>
    <t>Ludmyla Shpakovych</t>
  </si>
  <si>
    <t>LShpakovych</t>
  </si>
  <si>
    <t>23:09</t>
  </si>
  <si>
    <t>А чого собі будуть шкодувати ,,,,  і це не за послідні гроші 
Сволочі 😡</t>
  </si>
  <si>
    <t>Lesya Tereshkunka</t>
  </si>
  <si>
    <t>23:08</t>
  </si>
  <si>
    <t>Поки в Україні війна, донька мера Тернополя Сергія Надала купує розкішну віллу за майже 2 млн доларів у престижному районі Маямі — Coral Gables. https://news.hab.media/231991-donjka_mera_ternopolja_sergija_nadala_pridbala_villu_v_majami_za_2_miljjoni_dolariv_pid_chas_vijni
Донька мера Тернополя Сергія Надала придбала віллу в Маямі за 2 мільйони доларів під час війни •...</t>
  </si>
  <si>
    <t>Посилання,Текст</t>
  </si>
  <si>
    <t>MediaHub</t>
  </si>
  <si>
    <t>MediaHab</t>
  </si>
  <si>
    <t>23:07</t>
  </si>
  <si>
    <t>И это всего-лишь мелкий чиновник, мер городишки!
Донька мера Тернополя Сергія Надала придбала віллу майже за 2 млн доларів в престижному районі Маямі Coral Gables. 
Нерухомість оформлена на її чоловіка Рубена Родрігеса, офіційних доходів для такої покупки у нього не зафіксовано. ...
Продовження тут https://t.me/ ITVh1Nv1FBVlMWVi</t>
  </si>
  <si>
    <t>PivaNet</t>
  </si>
  <si>
    <t>ParlamentKR</t>
  </si>
  <si>
    <t>Юджина Любава</t>
  </si>
  <si>
    <t>ПОЛІТИЧНА-КУХНЯ</t>
  </si>
  <si>
    <t>IvanAntonovich</t>
  </si>
  <si>
    <t>IvanAntonovUA</t>
  </si>
  <si>
    <t>23:06</t>
  </si>
  <si>
    <t>старшина ( один из 25%)</t>
  </si>
  <si>
    <t>quvin1</t>
  </si>
  <si>
    <t>Щоб вам вже вдавитися тими грошима!!!!!! .</t>
  </si>
  <si>
    <t>Марія Гренюх</t>
  </si>
  <si>
    <t>23:05</t>
  </si>
  <si>
    <t>домовёнок Кузя</t>
  </si>
  <si>
    <t>nikolaynik2</t>
  </si>
  <si>
    <t>Справа заглохла вже давно. Причини ніхто не знає</t>
  </si>
  <si>
    <t>Tanya Panchuk</t>
  </si>
  <si>
    <t>tanya.panchuk.5</t>
  </si>
  <si>
    <t>Raduga Yulita</t>
  </si>
  <si>
    <t>23:04</t>
  </si>
  <si>
    <t>Тернопіль Сьогодні</t>
  </si>
  <si>
    <t>pro.ternopil</t>
  </si>
  <si>
    <t>Місцеположення,Текст,Альбоми,Зображення</t>
  </si>
  <si>
    <t>23:02</t>
  </si>
  <si>
    <t>Анна Комарова</t>
  </si>
  <si>
    <t>Греція</t>
  </si>
  <si>
    <t>Аттика</t>
  </si>
  <si>
    <t>Афіни</t>
  </si>
  <si>
    <t>23:00</t>
  </si>
  <si>
    <t>Вони.ж.бідні.живуть.на.одну.зарплатню</t>
  </si>
  <si>
    <t>Любовь Шелякина</t>
  </si>
  <si>
    <t>22:57</t>
  </si>
  <si>
    <t>👀 Донька мера Тернополя Сергія Надала придбала нерухомість у США на мільйони доларів, — ЗМІ ⭕️Йдеться про віллу майже</t>
  </si>
  <si>
    <t>А ти спочатку зроби стільки для міста, скільки зробив мер і тоді відкривай свій зелений клоунячий писок.</t>
  </si>
  <si>
    <t>Наталя Цетнар</t>
  </si>
  <si>
    <t>Будь небайдужим! Україна понад усе! 🇺🇦</t>
  </si>
  <si>
    <t>22:55</t>
  </si>
  <si>
    <t>Овчаренко Максим Леонідович</t>
  </si>
  <si>
    <t>MaksOwcharenko</t>
  </si>
  <si>
    <t>22:54</t>
  </si>
  <si>
    <t>Одні,злодюги,нікогоне,судять</t>
  </si>
  <si>
    <t>Slava Snevsnyk</t>
  </si>
  <si>
    <t>slava.snevsnyk</t>
  </si>
  <si>
    <t>Це піздец ,</t>
  </si>
  <si>
    <t>Наталя Франюк</t>
  </si>
  <si>
    <t>22:53</t>
  </si>
  <si>
    <t>Oleksandr Kariaka , да вот такие они меры да и замы тоже хороши
Донька мера Тернополя купила маєток в Маямі за майже 2 млн доларів.
Вілла Анастасії Надал знаходиться в одному з найпрестижніших районів Маямі Coral Gables і офорлена на чоловіка Рубена Родрігеса. Офіційних доходів для придбання такої нерухомості у чоловіка не було.
Крім того, Надал придбала апартаменти у Маямі за 380 тисяч доларів також без підтвердження доходів.
НАБУ і САП відкрили провадження щодо незаконного збагачення Сергія Надала, але справа чомусь заглохла. Чому?</t>
  </si>
  <si>
    <t>Oleksandr Kariaka</t>
  </si>
  <si>
    <t>22:52</t>
  </si>
  <si>
    <t>Colombian_TIE</t>
  </si>
  <si>
    <t>colombian_TIE</t>
  </si>
  <si>
    <t>22:51</t>
  </si>
  <si>
    <t>Vadym</t>
  </si>
  <si>
    <t>Vadym37810881</t>
  </si>
  <si>
    <t>Крадуть і шляк їх не трафляє</t>
  </si>
  <si>
    <t>Віра Ілясевич</t>
  </si>
  <si>
    <t>22:50</t>
  </si>
  <si>
    <t>На кінець то</t>
  </si>
  <si>
    <t>Viktor Viktor</t>
  </si>
  <si>
    <t>Бідна патріотична партія Свобода та її члени які прийшли до влади і виживали на копійках !!😃</t>
  </si>
  <si>
    <t>Volodymyr Klebanik</t>
  </si>
  <si>
    <t>Parma</t>
  </si>
  <si>
    <t>А якщо Рубенчик її кине ,то він буде нормально мати ,а вона дульку  з маком ?</t>
  </si>
  <si>
    <t>Софія Конахович</t>
  </si>
  <si>
    <t>Баба з пенції наскладала і подарила...</t>
  </si>
  <si>
    <t>Svitlana Yarema</t>
  </si>
  <si>
    <t>svitlana.yarema.7</t>
  </si>
  <si>
    <t>Тяжко працювала.</t>
  </si>
  <si>
    <t>Владимир Токарчук</t>
  </si>
  <si>
    <t>Marichka Marushchak</t>
  </si>
  <si>
    <t>marichka.marushchak</t>
  </si>
  <si>
    <t>Рахів</t>
  </si>
  <si>
    <t>22:45</t>
  </si>
  <si>
    <t>22:43</t>
  </si>
  <si>
    <t>Роман Прохоров</t>
  </si>
  <si>
    <t>rsprokhorov</t>
  </si>
  <si>
    <t>22:42</t>
  </si>
  <si>
    <t>Вілла в Маямі за 2 мільйони доларів: донька мера Тернополя Сергія Надала оселилася в елітному районі ... https://antikor.info/articles/823341-villa_v_majami_za_2_milliona_dollarov_dochj_mera_ternopolja_sergeja_nadala_obosnovalasj_v_elitnom_rajone_sa_vo_vremja_vojny
Вілла в Маямі за 2 мільйони доларів: донька мера Тернополя Сергія Надала оселилася в елітному...</t>
  </si>
  <si>
    <t>ANTIKOR</t>
  </si>
  <si>
    <t>antikorua</t>
  </si>
  <si>
    <t>Алина Храброва</t>
  </si>
  <si>
    <t>5081973</t>
  </si>
  <si>
    <t>Іван Кушнір</t>
  </si>
  <si>
    <t>І кому від цього легше?</t>
  </si>
  <si>
    <t>Ольга Порохнавець</t>
  </si>
  <si>
    <t>Збиранка</t>
  </si>
  <si>
    <t>22:39</t>
  </si>
  <si>
    <t>Краще би надала, ніж придбала</t>
  </si>
  <si>
    <t>Вікторія Безорчук</t>
  </si>
  <si>
    <t>Донька мера Тернополя Сергія Надала придбала віллу майже за 2 млн доларів в престижному районі Маямі Coral Gables. 
Нерухомість оформлена на її чоловіка Рубена Родрігеса, офіційних доходів для такої покупки у нього не зафіксовано. Крім того, вона купила апартаменти у Маямі за 380 тисяч доларів без підтверджених джерел коштів.
Раніше НАБУ та САП відкривали провадження щодо можливого незаконного збагачення Сергія Надала. 
Підписуйтеся на ЄвроМайдан. Тільки правда, і нічого крім правди
https://t.me/+ITVh1Nv1FBVlMWVi</t>
  </si>
  <si>
    <t>Guzik Andrei</t>
  </si>
  <si>
    <t>andrei.guzik</t>
  </si>
  <si>
    <t>Коли ви нажретесь. Крадуть і ніхто цього не бачить</t>
  </si>
  <si>
    <t>Валентина Семенко</t>
  </si>
  <si>
    <t>Донька мера Тернополя придбала елітну нерухомість у США: суми вражають
Анастасія Надал, донька міського голови Тернополя Сергія Надала, стала власницею елітної нерухомості у США. Йдеться про віллу в Маямі вартістю майже 2
https://www.stopcor.org/ukr/section-uanews/news-donka-mera-ternopolya-pridbala-elitnu-neruhomist-u-ssha-sumi-vrazhayut-27-02-2026.html</t>
  </si>
  <si>
    <t>Владимир Алисиенко</t>
  </si>
  <si>
    <t>Стоп Корупції Україна</t>
  </si>
  <si>
    <t>22:35</t>
  </si>
  <si>
    <t>Портал «Антикор»</t>
  </si>
  <si>
    <t>А чого не конфіскувати!!</t>
  </si>
  <si>
    <t>Ирина Кн</t>
  </si>
  <si>
    <t>22:26</t>
  </si>
  <si>
    <t>А нам война а их детям Маями а наши должны ВОЕВАТЬ</t>
  </si>
  <si>
    <t>Денис Владимирович</t>
  </si>
  <si>
    <t>Орест Даньків 100% там, видно,  365  вишиванок на кожен день - свіжа</t>
  </si>
  <si>
    <t>Yullita74</t>
  </si>
  <si>
    <t>22:25</t>
  </si>
  <si>
    <t>У  бабки  в  гаражі  знайшов</t>
  </si>
  <si>
    <t>Мария Юрча</t>
  </si>
  <si>
    <t>Фуэнхирола</t>
  </si>
  <si>
    <t>22:24</t>
  </si>
  <si>
    <t>Українець</t>
  </si>
  <si>
    <t>Anton38527993</t>
  </si>
  <si>
    <t>Наталія Дяченко поки розстрілювати іх не почнуть разом з доньками,вони не зупиняться.</t>
  </si>
  <si>
    <t>Виктория Сколтни</t>
  </si>
  <si>
    <t>Ну а хули</t>
  </si>
  <si>
    <t>Oleksii Orlovskyi</t>
  </si>
  <si>
    <t>22:21</t>
  </si>
  <si>
    <t>Svitlana Naumenko</t>
  </si>
  <si>
    <t>Дніпро україномовний</t>
  </si>
  <si>
    <t>Palm Beach</t>
  </si>
  <si>
    <t>Irina  Poholyuk</t>
  </si>
  <si>
    <t>Джон Сноу⛰️🌬️🌌</t>
  </si>
  <si>
    <t>partizan201415</t>
  </si>
  <si>
    <t>Так ты манда помоги бесприютным животным !!!</t>
  </si>
  <si>
    <t>Anna Anna</t>
  </si>
  <si>
    <t>22:18</t>
  </si>
  <si>
    <t>Поки в Україні війна, донька мера Тернополя Сергія Надала купує розкішну віллу за майже 2 млн доларів у престижному районі Маямі — Coral Gables
Маєток записаний на її чоловіка Рубена Родрігеса, але офіційних доходів, які б дозволяли таку покупку, у нього не зафіксовано. Додатково — ще й апартаменти в Маямі за 380 тисяч доларів без підтверджених джерел коштів.</t>
  </si>
  <si>
    <t>Зображення,Стікери</t>
  </si>
  <si>
    <t>Daredevil</t>
  </si>
  <si>
    <t>daredevil7560</t>
  </si>
  <si>
    <t>22:17</t>
  </si>
  <si>
    <t>➕ Криця</t>
  </si>
  <si>
    <t>freeavantjazz</t>
  </si>
  <si>
    <t>Олег Карелов</t>
  </si>
  <si>
    <t>Лошаймося.Бо Ми за те Відповідні</t>
  </si>
  <si>
    <t>Руслан Сотир</t>
  </si>
  <si>
    <t>sotir.rd</t>
  </si>
  <si>
    <t>andrey peshehonov</t>
  </si>
  <si>
    <t>andreypeshehon1</t>
  </si>
  <si>
    <t>22:14</t>
  </si>
  <si>
    <t>Це плювок всім українцям …</t>
  </si>
  <si>
    <t>Галя Галина</t>
  </si>
  <si>
    <t>🤔
Донька мера Тернополя купила маєток в Маямі за майже 2 млн доларів.
Вілла Анастасії Надал знаходиться в одному з найпрестижніших районів Маямі Coral Gables і офорлена на чоловіка Рубена Родрігеса. Офіційних доходів для придбання такої нерухомості у чоловіка не було.
Крім того, Надал придбала апартаменти у Маямі за 380 тисяч доларів також без підтвердження доходів.
НАБУ і САП відкрили провадження щодо незаконного збагачення Сергія Надала, але справа чомусь заглохла. Чому?</t>
  </si>
  <si>
    <t>Natalia Gorbenko</t>
  </si>
  <si>
    <t>natapunkoala.lumpur</t>
  </si>
  <si>
    <t>...А ШО? НІЗЗЯ,ЧИ ШО?...ВСІ П@ЗДЯТ, ЗА ЦЕ МЕНЕ Й ПЕРЕОБРАЛИ...ОН КАМІНЧИКИ ВКЛАДАЮ, ПАРКИ БУДІВЛЯМИ ОБЛАГОРОДЖУЮ,..ЗВИК ДО СХЕМ,ТА Й ГОРОЖАНЄ ЗВИКЛИ...А ДОНЬКА ТО ТАКЕ...ПОВЕЗЛО...З НЕРОЗУМНИМИ У ФАЙНОМУ МІСТІ...А ШО,?</t>
  </si>
  <si>
    <t>Igor Oliyovskiy</t>
  </si>
  <si>
    <t>Живуть же люди- ХАБАРНИКИ....</t>
  </si>
  <si>
    <t>Любов Зарічна</t>
  </si>
  <si>
    <t>Elizabet Nickols</t>
  </si>
  <si>
    <t>ENickolskaya</t>
  </si>
  <si>
    <t>Мер, в Україні, є синонімом слова "вор", тобто "крадій".
Донька мера Тернополя Сергія Надала придбала віллу майже за 2 млн доларів в престижному районі Маямі Coral Gables. 
Нерухомість оформлена на її чоловіка Рубена Родрігеса, офіційних доходів для такої покупки у нього не зафіксовано. ...
Продовження тут https://t.me/ ITVh1Nv1FBVlMWVi</t>
  </si>
  <si>
    <t>Отец Солдата</t>
  </si>
  <si>
    <t>uspenovka19632</t>
  </si>
  <si>
    <t>22:11</t>
  </si>
  <si>
    <t>Анна Кималко</t>
  </si>
  <si>
    <t>22:09</t>
  </si>
  <si>
    <t>kowalskydonetsk🇺🇦</t>
  </si>
  <si>
    <t>kowalskydonetsk</t>
  </si>
  <si>
    <t>22:07</t>
  </si>
  <si>
    <t>Злодії і вори усі  тікають  до
Америки  там  затишно  і безпечно.
Купив  напевно  по  сусідству  з
Арестовичем .???</t>
  </si>
  <si>
    <t>Александр Царицын</t>
  </si>
  <si>
    <t>Ромни</t>
  </si>
  <si>
    <t>Таке  відчувається у нас тоді,  як керовники,херовники і всі ми то знаєм і всі вони один одного криють,виправдовують...а ми все мовчимо,ковтаємо...</t>
  </si>
  <si>
    <t>Сардинія</t>
  </si>
  <si>
    <t>Кальярі</t>
  </si>
  <si>
    <t>22:04</t>
  </si>
  <si>
    <t>За таку красу ще приданого мало</t>
  </si>
  <si>
    <t>Alexandra Homa</t>
  </si>
  <si>
    <t>Okcana Ruda бідні наркоділери. Все через банк, носить туди гроші в торбі...</t>
  </si>
  <si>
    <t>Ігор Бодяк</t>
  </si>
  <si>
    <t>ihorbodyak</t>
  </si>
  <si>
    <t>Олег Червінка</t>
  </si>
  <si>
    <t>maluj.oleg</t>
  </si>
  <si>
    <t>Дрогобич</t>
  </si>
  <si>
    <t>22:03</t>
  </si>
  <si>
    <t>Юрій Бутусов</t>
  </si>
  <si>
    <t>Oleksandra Shevchenko</t>
  </si>
  <si>
    <t>moya.sawa</t>
  </si>
  <si>
    <t>Юрій Ніколов</t>
  </si>
  <si>
    <t>BIHUS.Info</t>
  </si>
  <si>
    <t>Vitaliy Shabunin</t>
  </si>
  <si>
    <t>Татарська</t>
  </si>
  <si>
    <t>22:02</t>
  </si>
  <si>
    <t>Українська правда</t>
  </si>
  <si>
    <t>Valera Zahar звичайно не міг. Просто донька талановита бізнесвумен..</t>
  </si>
  <si>
    <t>Дороги в Тернопільській обл не має грошей поремонтувати це інша країна і їм це непотрібно.Гнати це чудо  на нуль.</t>
  </si>
  <si>
    <t>Саша Русак</t>
  </si>
  <si>
    <t>Lector UA Так, ті хто на війні, вілли не купують.</t>
  </si>
  <si>
    <t>Марія Пасічник</t>
  </si>
  <si>
    <t>Косово</t>
  </si>
  <si>
    <t>Rajoni i Gjakovës (07) / Okrug Đakovica (07)</t>
  </si>
  <si>
    <t>Vranište</t>
  </si>
  <si>
    <t>Та заспокойтесь, не міг він стільки нажити та ще й в Тернополі, що вам дах зносить?</t>
  </si>
  <si>
    <t>Valera Zahar</t>
  </si>
  <si>
    <t>Elena Popova легко підставна особа з бізнесом , доки переведені на англійську завірені нотаріусом  і все :)…</t>
  </si>
  <si>
    <t>Vitalii Chornei</t>
  </si>
  <si>
    <t>Не рухайте ВО Свобода.. Їх багато на війні</t>
  </si>
  <si>
    <t>Lector UA</t>
  </si>
  <si>
    <t>Раїса Марковець І війна теж.</t>
  </si>
  <si>
    <t>Марія Проциши</t>
  </si>
  <si>
    <t>21:58</t>
  </si>
  <si>
    <t>Він що перший і останній,в кожному місті чи селі копніть,то під час війни всі збагатилися,кроме тих хто в окопах</t>
  </si>
  <si>
    <t>Галина Набияч</t>
  </si>
  <si>
    <t>Тель-Авивский округ</t>
  </si>
  <si>
    <t>Рамат-Ган</t>
  </si>
  <si>
    <t>see to learn, ukr 🇸🇴</t>
  </si>
  <si>
    <t>seetolearnukr</t>
  </si>
  <si>
    <t>RED</t>
  </si>
  <si>
    <t>russ0lan</t>
  </si>
  <si>
    <t>Войнушка</t>
  </si>
  <si>
    <t>drucapups</t>
  </si>
  <si>
    <t>Мер - то народний обранець, а не ставленік президента, що вибрали те і маете</t>
  </si>
  <si>
    <t>21:54</t>
  </si>
  <si>
    <t>Донька мера Тернополя Сергія Надала придбала віллу майже за 2 млн доларів в престижному районі Маямі Coral Gables
https://provse.te.ua/2026/02/donka-mera-ternopolia-serhiia-nadala-prydbala-villu-mayzhe-za-2-mln-dolariv-v-prestyzhnomu-rayoni-maiami-coral-gables/
Донька мера Тернополя Сергія Надала придбала віллу майже за 2 млн доларів в престижному районі...
Донька мера Тернополя Сергія Надала придбала віллу майже за 2 млн доларів в престижному районі Маямі Coral Gables. Нерухомість оформлена на її чоловіка Рубена Родрігеса, офіційних доходів для такої...</t>
  </si>
  <si>
    <t>Борис</t>
  </si>
  <si>
    <t>Provsete</t>
  </si>
  <si>
    <t>Де вона їх заробила.  Це прокляті гроші довго не натішиться.</t>
  </si>
  <si>
    <t>Olga Zavoyska</t>
  </si>
  <si>
    <t>Domodossola</t>
  </si>
  <si>
    <t>Elena Popova, купляють нерухомість у ОАЕ, через рік-два продають і все гроші легалізовані!</t>
  </si>
  <si>
    <t>21:52</t>
  </si>
  <si>
    <t>Дмитро Дмитрович він давно мер , з партії Свобода</t>
  </si>
  <si>
    <t>Nataly Mazur</t>
  </si>
  <si>
    <t>Aloha</t>
  </si>
  <si>
    <t>AlenaPosh1</t>
  </si>
  <si>
    <t>Донька мера Тернополя Сергія Надала придбала віллу майже за 2 млн доларів в престижному районі Маямі Coral Gables
[https://provse.te.ua/2026/02/donka-mera-ternopolia-serhiia-nadala-prydbala-villu-mayzhe-za-2-mln-dolariv-v-prestyzhnomu-rayoni-maiami-coral-gables](https://provse.te.ua/2026/02/donka-mera-ternopolia-serhiia-nadala-prydbala-villu-mayzhe-za-2-mln-dolariv-v-prestyzhnomu-rayoni-maiami-coral-gables/)
https://provse.te.ua/2026/02/donka-mera-ternopolia-serhiia-nadala-prydbala-villu-mayzhe-za-2-mln-dolariv-v-prestyzhnomu-rayoni-maiami-coral-gables
Донька мера Тернополя Сергія Надала придбала віллу майже за 2 млн доларів в престижному районі Маямі Coral Gables
Донька мера Тернополя Сергія Надала придбала віллу майже за 2 млн доларів в престижному районі Маямі Coral Gables. Нерухомість оформлена на її чоловіка Рубена Родрігеса,...</t>
  </si>
  <si>
    <t>21:50</t>
  </si>
  <si>
    <t>Донька мера Тернополя Сергія Надала придбала віллу майже за 2 млн доларів в престижному районі Маямі Coral Gables
https://provse.te.ua/2026/02/donka-mera-ternopolia-serhiia-nadala-prydbala-villu-mayzhe-za-2-mln-dolariv-v-prestyzhnomu-rayoni-maiami-coral-gables
Донька мера Тернополя Сергія Надала придбала віллу майже за 2 млн доларів в престижному районі Маямі Coral Gables. Нерухомість оформлена на її чоловіка Рубена Родрігеса,...</t>
  </si>
  <si>
    <t>Петриків</t>
  </si>
  <si>
    <t>Махх</t>
  </si>
  <si>
    <t>UaMaxx</t>
  </si>
  <si>
    <t>Olga Kuzmiy 💯☝️</t>
  </si>
  <si>
    <t>Валерій Фадєєв</t>
  </si>
  <si>
    <t>21:49</t>
  </si>
  <si>
    <t>Свобода чесна партія</t>
  </si>
  <si>
    <t>На мінімалку бідна їб...шила... Чому б себе не побалувати... Мразота</t>
  </si>
  <si>
    <t>Олександр Ромашина</t>
  </si>
  <si>
    <t>21:48</t>
  </si>
  <si>
    <t>Віктор</t>
  </si>
  <si>
    <t>vxlF9INUp5jK8Vl</t>
  </si>
  <si>
    <t>Донька мера Тернополя Сергія Надала придбала віллу майже за 2 млн доларів в престижному районі Маямі Coral Gables</t>
  </si>
  <si>
    <t>Поділитися
Нерухомість оформлена на її чоловіка Рубена Родрігеса, офіційних доходів для такої покупки у нього не зафіксовано. Крім того, вона купила апартаменти у Маямі за 380 тисяч доларів без підтверджених джерел коштів.
Раніше НАБУ та САП відкривали провадження щодо можливого незаконного збагачення Сергія Надала, повідомляє Стопкор Водночас у реєстраційних документах власником зазначений її чоловік – Рубен Родрігес. У відкритих джерелах відсутня інформація про його офіційні доходи, які могли б пояснити фінансову спроможність здійснити подібну угоду.
https://www.stopcor.org/ukr/section-uanews/news-donka-mera-ternopolya-pridbala-elitnu-neruhomist-u-ssha-sumi-vrazhayut-27-02-2026.html
Це не перший об’єкт нерухомості родини у Флориді. Раніше Анастасія Надал придбала апартаменти в Маямі за 380 тисяч доларів. Як і у випадку з віллою, зрозумілого фінансового бекграунду щодо джерел коштів у відкритому доступі немає.
На цьому тлі Національне антикорупційне бюро України та Спеціалізована антикорупційна прокуратура відкрили кримінальне провадження щодо можливого незаконного збагачення Сергія Надала. Проте розслідування несподівано втратило активність і наразі фактично перебуває без помітного прогресу.</t>
  </si>
  <si>
    <t>provse.te.ua</t>
  </si>
  <si>
    <t>21:47</t>
  </si>
  <si>
    <t>Володимир Обдовбаний</t>
  </si>
  <si>
    <t>kaminskijd111</t>
  </si>
  <si>
    <t>Ддуже шкода хлопців, які загинули, а на фронті бідні  втрачають здоровя, за кого,жах</t>
  </si>
  <si>
    <t>Тамара Поліщук</t>
  </si>
  <si>
    <t>Тіп який позволяє сафарі на людей, нормас відпрацювали
Донька мера Тернополя Сергія Надала придбала віллу майже за 2 млн доларів в престижному районі Маямі Coral Gables. 
Нерухомість оформлена на її чоловіка Рубена Родрігеса, офіційних доходів для такої покупки у нього не зафіксовано. ...
Продовження тут https://t.me/ ITVh1Nv1FBVlMWVi</t>
  </si>
  <si>
    <t>Anais</t>
  </si>
  <si>
    <t>anaissvet</t>
  </si>
  <si>
    <t>Господи коли  ви вже суки нажретесь.</t>
  </si>
  <si>
    <t>Ясіня</t>
  </si>
  <si>
    <t>Journalist</t>
  </si>
  <si>
    <t>dmitrij_adamow</t>
  </si>
  <si>
    <t>21:45</t>
  </si>
  <si>
    <t>oleg piketov</t>
  </si>
  <si>
    <t>piketov</t>
  </si>
  <si>
    <t>І гроші можна було перевести закордон без проблем.   Які мерзотники.  І це під час війни</t>
  </si>
  <si>
    <t>Mariya Semaniv</t>
  </si>
  <si>
    <t>mariya.semaniv</t>
  </si>
  <si>
    <t>Уйобані патріоти</t>
  </si>
  <si>
    <t>Николай Гладкий</t>
  </si>
  <si>
    <t>Oksana Didkovskaya Боже! Допоможи, щоб Ваш син повернувся до дому.</t>
  </si>
  <si>
    <t>Halyna Maherovska</t>
  </si>
  <si>
    <t>21:44</t>
  </si>
  <si>
    <t>Кам’янська Перша Приватна Дронарня🥶</t>
  </si>
  <si>
    <t>huidneprodym</t>
  </si>
  <si>
    <t>Карнаухівка</t>
  </si>
  <si>
    <t>Чому ця проститутка купляє за вкрадені кошти українців маєтки сука колись закінчиться це все блять повісьте цілу сімю щоб другим не повадно тварини єбані на крові заробляють сволоти би ви виздихали підори</t>
  </si>
  <si>
    <t>Allbisnes All Bisnes</t>
  </si>
  <si>
    <t>Швейцарія</t>
  </si>
  <si>
    <t>Женева</t>
  </si>
  <si>
    <t>Игорь</t>
  </si>
  <si>
    <t>Igor51122051425</t>
  </si>
  <si>
    <t>Olga Kuzmiy Не пишіть дурниць.</t>
  </si>
  <si>
    <t>Stefan Khomyn</t>
  </si>
  <si>
    <t>stefan.khomyn</t>
  </si>
  <si>
    <t>21:41</t>
  </si>
  <si>
    <t>Катерина Білозор вони лопатою гребуть!</t>
  </si>
  <si>
    <t>Упирі обкрадають Україну!</t>
  </si>
  <si>
    <t>Oleksandra Stanko</t>
  </si>
  <si>
    <t>oleksandra.stanko.9</t>
  </si>
  <si>
    <t>Maxim Khodchenko так , але воно сейсмічне !</t>
  </si>
  <si>
    <t>Marina Chubik</t>
  </si>
  <si>
    <t>marina.chubik</t>
  </si>
  <si>
    <t>Тоскана</t>
  </si>
  <si>
    <t>Пиза</t>
  </si>
  <si>
    <t>Нагріб собі</t>
  </si>
  <si>
    <t>Anna Alekseeva</t>
  </si>
  <si>
    <t>ОАЕ</t>
  </si>
  <si>
    <t>Дубай</t>
  </si>
  <si>
    <t>А з🤮лене шукає вмотивованих... Ось це мотивація, українцям ціни, а собі, підарам, зарплатню і при цьому ще крадуть ешелонами.</t>
  </si>
  <si>
    <t>Дмитро Дмитрович</t>
  </si>
  <si>
    <t>Лариса Крамаренко довго будемо мріяти, якщо матимемо таку владу!</t>
  </si>
  <si>
    <t>Halyna Maherovska кого посадиш, всі в Маямі...</t>
  </si>
  <si>
    <t>Adam Mezo</t>
  </si>
  <si>
    <t>21:39</t>
  </si>
  <si>
    <t>Юрій Пилипчук</t>
  </si>
  <si>
    <t>YuriPulupchyk</t>
  </si>
  <si>
    <t>Halyna Maherovska справа в тому, що всі покупки зразу ідуть в податкову. І якщо нема доказу звідки взяли гроші, то дуже великий податок нараховують. Це по перше. По друге , не можеш заплатити налічкою. Тільки через банк. Значить і укр і закордонні банки в курсі і т д</t>
  </si>
  <si>
    <t>Okcana Ruda</t>
  </si>
  <si>
    <t>okcana.ruda</t>
  </si>
  <si>
    <t>А ви донатьте зі своїх ганебних зарплат і пенсій воїнам які принижуються, просячи донати на дрони і авто!</t>
  </si>
  <si>
    <t>Грабова Инна</t>
  </si>
  <si>
    <t>Adam Mezo і когось посадили?</t>
  </si>
  <si>
    <t>21:38</t>
  </si>
  <si>
    <t>Sanders</t>
  </si>
  <si>
    <t>mmr_dota</t>
  </si>
  <si>
    <t>Як відкрили, так і закриють. За ще одну віллу.</t>
  </si>
  <si>
    <t>Ксенія Ксенія</t>
  </si>
  <si>
    <t>Певно це одна із першопричин чому у Тернопільській області такі «прекрасні дороги» …і як їх таких земля носить ?</t>
  </si>
  <si>
    <t>Sokol Anna</t>
  </si>
  <si>
    <t>luciaadrianalook</t>
  </si>
  <si>
    <t>Політика - найкращий бізнес.</t>
  </si>
  <si>
    <t>Раїса Марковець</t>
  </si>
  <si>
    <t>Оксана Микицей</t>
  </si>
  <si>
    <t>Ось хто не хоче завершення війни, крадуть та думають що вони безсмертні, потвори!</t>
  </si>
  <si>
    <t>Люда Пантала</t>
  </si>
  <si>
    <t>Єта другоє…</t>
  </si>
  <si>
    <t>Сергей Гаврыш</t>
  </si>
  <si>
    <t>Okcana Ruda стають інвесторами і усім, крім України, вигідно.</t>
  </si>
  <si>
    <t>Platforma de informacion</t>
  </si>
  <si>
    <t>Vlad Daniloff</t>
  </si>
  <si>
    <t>VladDaniloff1</t>
  </si>
  <si>
    <t>Австрія</t>
  </si>
  <si>
    <t>Пишемо а нічого не можемо зробити в нас замкнутий круг посміялись поплавали а вони надалі сміються з на в обличчя нам</t>
  </si>
  <si>
    <t>Valerii Halevskyi</t>
  </si>
  <si>
    <t>valerahalevski</t>
  </si>
  <si>
    <t>Великопольське воєводство</t>
  </si>
  <si>
    <t>Познань</t>
  </si>
  <si>
    <t>Ларисао Орецька</t>
  </si>
  <si>
    <t>Поморяни</t>
  </si>
  <si>
    <t>21:34</t>
  </si>
  <si>
    <t>Олена Дяченко</t>
  </si>
  <si>
    <t>Петро Піхлик</t>
  </si>
  <si>
    <t>PetrPihlik</t>
  </si>
  <si>
    <t>21:33</t>
  </si>
  <si>
    <t>Bogdana Sychak</t>
  </si>
  <si>
    <t>bogdana.sychak</t>
  </si>
  <si>
    <t>ЯворівNEWs без Цензури</t>
  </si>
  <si>
    <t>Anneta Sadowska згинь зУкраїни,до свободи пуйла.</t>
  </si>
  <si>
    <t>Ганна Філяк</t>
  </si>
  <si>
    <t>21:31</t>
  </si>
  <si>
    <t>Віктор Масник</t>
  </si>
  <si>
    <t>Antony</t>
  </si>
  <si>
    <t>Йойойой.....</t>
  </si>
  <si>
    <t>Ольга Налужна</t>
  </si>
  <si>
    <t>Золочів</t>
  </si>
  <si>
    <t>Мене завжди дивує, як за кордоном можна купити нерухомість не довівши походження грошей? Значить, комусь башляють там на місці , хто при владі.</t>
  </si>
  <si>
    <t>То ще квіточки
Ці тварюки здохнуть і крадені гроші не заберуть в яму</t>
  </si>
  <si>
    <t>Богдан Паска</t>
  </si>
  <si>
    <t>Якій там маєток просто дачя шо відпочіти начінаєте тут розказувати 😅</t>
  </si>
  <si>
    <t>Vasilij Sikajlo</t>
  </si>
  <si>
    <t>vasilij.sikajlo</t>
  </si>
  <si>
    <t>Городище</t>
  </si>
  <si>
    <t>21:28</t>
  </si>
  <si>
    <t>Нехай тепер ті мери і їхні дочки йдуть траншеї рити на 0</t>
  </si>
  <si>
    <t>Мирослава Шеремета</t>
  </si>
  <si>
    <t>В США для покупки недвижимости необходимо официально подтвердить происхождение доходов . Интересно как они это сделали</t>
  </si>
  <si>
    <t>Elena Popova</t>
  </si>
  <si>
    <t>А шоб ви скисли ,а нашим воїнам мізерію. Мало вbити 😠</t>
  </si>
  <si>
    <t>Anastasia Vorontsova</t>
  </si>
  <si>
    <t>21:27</t>
  </si>
  <si>
    <t>ЧОМУ ВЕЛИКЕ КРАДІВНИЦТВО МОЖЛИВО У ВОЮЮЧІЙ КРАЇНІ?
ЧОМУ страждають прості українці,але ДУЖЕ ДОБРЕ живуть всі привладні суки
Гроші, які за 6 р розікрали зелені виблядки, повинні були працювати на захист країни, на облаштування ВПО, на підтримку бізнесу.
ЗДОХНІТЬ ЗЕЛЕНІ ТВАРЮКИ
Донька мера Тернополя Сергія Надала придбала віллу майже за 2 млн доларів в престижному районі Маямі Coral Gables. 
Нерухомість оформлена на її чоловіка Рубена Родрігеса, офіційних доходів для такої покупки у нього не зафіксовано. ...
Продовження тут https://t.me/ ITVh1Nv1FBVlMWVi</t>
  </si>
  <si>
    <t>Helen_K</t>
  </si>
  <si>
    <t>DomkaArkhipivna</t>
  </si>
  <si>
    <t>Сашко</t>
  </si>
  <si>
    <t>RZmHhzmQ1vx3uij</t>
  </si>
  <si>
    <t>Олександр Олексенко</t>
  </si>
  <si>
    <t>Щось проста людина нічого немає за кордоном,тільки може бути на заробітках</t>
  </si>
  <si>
    <t>Оксана Цар</t>
  </si>
  <si>
    <t>Юджына Любава</t>
  </si>
  <si>
    <t>21:22</t>
  </si>
  <si>
    <t>Нехай поверне мені мою пенсію за 50 річні труди ,а моє життя нехай доживає вмісто мене сука !</t>
  </si>
  <si>
    <t>Онціка Хмара</t>
  </si>
  <si>
    <t>Шакали...</t>
  </si>
  <si>
    <t>Ева Горпинич</t>
  </si>
  <si>
    <t>Новий Буг</t>
  </si>
  <si>
    <t>21:21</t>
  </si>
  <si>
    <t>бля, заздрю (</t>
  </si>
  <si>
    <t>Taras Lytvyn</t>
  </si>
  <si>
    <t>🇺🇦 Alla</t>
  </si>
  <si>
    <t>Freya_od_ua</t>
  </si>
  <si>
    <t>NeSOVKO Dro4er</t>
  </si>
  <si>
    <t>Tetiana4alenko</t>
  </si>
  <si>
    <t>21:20</t>
  </si>
  <si>
    <t>цікаво коли кубинець її вигоне</t>
  </si>
  <si>
    <t>Natalia Prichodko</t>
  </si>
  <si>
    <t>Паскуди</t>
  </si>
  <si>
    <t>Іра Головко Крикун</t>
  </si>
  <si>
    <t>А чому б ні, татко ж «великий» бізЬнесмен з Тернополя!!</t>
  </si>
  <si>
    <t>Svitlana Dudkevych Honchar</t>
  </si>
  <si>
    <t>svitlana.dudkevych</t>
  </si>
  <si>
    <t>Пенсильванія</t>
  </si>
  <si>
    <t>Carnegie</t>
  </si>
  <si>
    <t>Семен Рачковський</t>
  </si>
  <si>
    <t>RackovsSem79549</t>
  </si>
  <si>
    <t>Добре на грабували Україну ,багата країна і ніхто не сидить .колись якось то припиниться або не буде України як так робити всім чиновникам .</t>
  </si>
  <si>
    <t>Лідія Фоміна</t>
  </si>
  <si>
    <t>21:17</t>
  </si>
  <si>
    <t>Думаю нАДАЛАМ пофіг. Чи може хтось притягне до відповідальності... ?!</t>
  </si>
  <si>
    <t>Ігор Пишняк</t>
  </si>
  <si>
    <t>igor.pyshniak</t>
  </si>
  <si>
    <t>Danila 🇦🇴</t>
  </si>
  <si>
    <t>Danilalooked</t>
  </si>
  <si>
    <t>21:16</t>
  </si>
  <si>
    <t>Віктор Укропіще</t>
  </si>
  <si>
    <t>Анна Бабчук ну цеж немоточикл за 50 тисяч щоб питати , а за такі гроші не питають , там всі свої.</t>
  </si>
  <si>
    <t>Анатолий Гайдай</t>
  </si>
  <si>
    <t>Мена</t>
  </si>
  <si>
    <t>Mykola</t>
  </si>
  <si>
    <t>MykolaN129542</t>
  </si>
  <si>
    <t>21:14</t>
  </si>
  <si>
    <t>Вілла в Маямі за 2 мільйони доларів: донька мера Тернополя Сергія Надала оселилася в елітному районі США під час війни</t>
  </si>
  <si>
    <t>Поки в Україні війна, донька мера Тернополя Сергія Надала купує розкішну віллу за майже 2 млн доларів у престижному районі Маямі — Coral Gables.
Маєток записаний на її чоловіка Рубена Родрігеса, але офіційних доходів, які б дозволяли таку покупку, у нього не зафіксовано. Додатково — ще й апартаменти в Маямі за 380 тисяч доларів без підтверджених джерел коштів.
Раніше НАБУ та САП уже відкривали провадження щодо можливого незаконного збагачення Сергія Надала.</t>
  </si>
  <si>
    <t>antikor.info</t>
  </si>
  <si>
    <t>Портал АНТИКОР</t>
  </si>
  <si>
    <t>21:13</t>
  </si>
  <si>
    <t>Нуа чого мелочиться , брать дак брать , миж не якісь там американці , ми українці , знайте наших.</t>
  </si>
  <si>
    <t>21:12</t>
  </si>
  <si>
    <t>Пропаде все пропадом ,від награбованих у людей грошей,добра не буде!!!
Сльози людей вам і дітям віддасця!!</t>
  </si>
  <si>
    <t>Леся Кондратович</t>
  </si>
  <si>
    <t>Яворів</t>
  </si>
  <si>
    <t>21:11</t>
  </si>
  <si>
    <t>Надя Самойлова і що не так? Де раніше були коти сліпі, мовчали?</t>
  </si>
  <si>
    <t>Коля Сорохан</t>
  </si>
  <si>
    <t>21:10</t>
  </si>
  <si>
    <t>Очевидно зміг заткнути ненаситні пащі "найсправедливішим" суддям і прокурорам українським. 😡</t>
  </si>
  <si>
    <t>Тетяна Киричкевич</t>
  </si>
  <si>
    <t>Zosya Grey</t>
  </si>
  <si>
    <t>GreyZosya</t>
  </si>
  <si>
    <t>Ну чого ж відставати від інших. У них так не принято. Хизуються одне перед одним,хто більше накрав.</t>
  </si>
  <si>
    <t>Оксана Смірнова</t>
  </si>
  <si>
    <t>gembel</t>
  </si>
  <si>
    <t>gembel151457</t>
  </si>
  <si>
    <t>Свободу не спинити!!!</t>
  </si>
  <si>
    <t>Serg Memedyk</t>
  </si>
  <si>
    <t>21:09</t>
  </si>
  <si>
    <t>Нехай в них не буде то, що за гроші не можна купити! На чужій біді щастя у вас не буде і так до десятого покоління....</t>
  </si>
  <si>
    <t>Людмила Шалапай</t>
  </si>
  <si>
    <t>ludmilashalapaj</t>
  </si>
  <si>
    <t>УКРАЇНА online🇺🇦 BREAKING NEWS</t>
  </si>
  <si>
    <t>warbreakingnews</t>
  </si>
  <si>
    <t>Повна Україна такими гандонами. Лише радикальні міри спасуть Україну!!!</t>
  </si>
  <si>
    <t>Степан Степан</t>
  </si>
  <si>
    <t>Виноградів</t>
  </si>
  <si>
    <t>21:08</t>
  </si>
  <si>
    <t>Вішати за ноги на кладовищах військових</t>
  </si>
  <si>
    <t>Вікторія Строєва</t>
  </si>
  <si>
    <t>Наталья Тюлькова</t>
  </si>
  <si>
    <t>natashainteres</t>
  </si>
  <si>
    <t>Запоріжжя</t>
  </si>
  <si>
    <t>незаконного можливого збагачення? тобто ви, не впевненні)))))</t>
  </si>
  <si>
    <t>Andrii Logachov</t>
  </si>
  <si>
    <t>21:07</t>
  </si>
  <si>
    <t>Свобода напатріотила</t>
  </si>
  <si>
    <t>Хуйло лисе</t>
  </si>
  <si>
    <t>Stanislav</t>
  </si>
  <si>
    <t>Stasfru</t>
  </si>
  <si>
    <t>🇺🇦 URC - UKRAINIAN RESALE COMMUNITY</t>
  </si>
  <si>
    <t>21:06</t>
  </si>
  <si>
    <t>О,оце новина,і так потрохи всіх потрібно спитати,за які такі зарплати куплено і придбано.А то війна ,а вони держморди збагатились.</t>
  </si>
  <si>
    <t>21:05</t>
  </si>
  <si>
    <t>Я так за нього рада!Молодець!Всім можна , йому ні????</t>
  </si>
  <si>
    <t>Лариса Донец</t>
  </si>
  <si>
    <t>Охуїли вже зовсім під час війни піддерасня . Люди гинуть , а падли крадуть та жирують , а діти за границями сміються з кріпаків . На гиляку падлів привселюдно і все . Тільки знищення падлів спасе державу та Україну . Слава Україні та її нації</t>
  </si>
  <si>
    <t>Андрій Борис</t>
  </si>
  <si>
    <t>Та, що вчилася в ПЕТЕУ, коли обирали мером?</t>
  </si>
  <si>
    <t>Любов Корбеляк-Демків</t>
  </si>
  <si>
    <t>Слава богу не бідуе)))</t>
  </si>
  <si>
    <t>Илья Мурашко</t>
  </si>
  <si>
    <t>Маняки— нема кому спитати де взяти долари😡😡😡😡</t>
  </si>
  <si>
    <t>Анна Бабчук</t>
  </si>
  <si>
    <t>21:04</t>
  </si>
  <si>
    <t>Tetiana Mozhaeva у таких як вони не заберуть нічого. А у простих людей заберуть саме найдорожче , що в них є...життя. Тому бережіть своє життя. Ні одна територія, ніякі патріотичні гасла не вартують того.</t>
  </si>
  <si>
    <t>Oksana Kononova</t>
  </si>
  <si>
    <t>Оце я розумію хазяйська дитина, вся в татка...
Донька мера Тернополя Сергія Надала придбала віллу майже за 2 млн доларів в престижному районі Маямі Coral Gables. 
Нерухомість оформлена на її чоловіка Рубена Родрігеса, офіційних доходів для такої покупки у нього не зафіксовано. ...
Продовження тут https://t.me/ ITVh1Nv1FBVlMWVi</t>
  </si>
  <si>
    <t>ЖДУН</t>
  </si>
  <si>
    <t>TVK60963607</t>
  </si>
  <si>
    <t>Повстання ботів</t>
  </si>
  <si>
    <t>U88443874</t>
  </si>
  <si>
    <t>Evgen</t>
  </si>
  <si>
    <t>Evgen89936</t>
  </si>
  <si>
    <t>Як в Україні мери заробляють, будь яка голівудська зірка позаздрить!
Донька мера Тернополя купила маєток в Маямі за майже 2 млн доларів.
Вілла Анастасії Надал знаходиться в одному з найпрестижніших районів Маямі Coral Gables і офорлена на чоловіка Рубена Родрігеса. Офіційних доходів для придбання такої нерухомості у чоловіка не було.
Крім того, Надал придбала апартаменти у Маямі за 380 тисяч доларів також без підтвердження доходів.
НАБУ і САП відкрили провадження щодо незаконного збагачення Сергія Надала, але справа чомусь заглохла. Чому?</t>
  </si>
  <si>
    <t>Lana Brow</t>
  </si>
  <si>
    <t>lana.brow.9</t>
  </si>
  <si>
    <t>Японія</t>
  </si>
  <si>
    <t>Фукуока</t>
  </si>
  <si>
    <t>380 тисяч? Дешевше ніж кварти слуг в Печерському районі Києва 🤤</t>
  </si>
  <si>
    <t>Василько Довгий</t>
  </si>
  <si>
    <t>verrxx</t>
  </si>
  <si>
    <t>І справді якось некошерно це виглядає...</t>
  </si>
  <si>
    <t>Volodymyr Davymuka</t>
  </si>
  <si>
    <t>Відкрили провадження і по тихому закриють . А ця мадам буде жити своє краще життя в Маямі . Не провадження, потрібно відкривати ,а розстрілювати . Вранці зловили ,а вечером відспівали .</t>
  </si>
  <si>
    <t>Галя Андрійчук</t>
  </si>
  <si>
    <t>21:00</t>
  </si>
  <si>
    <t>Гарно обкрадаєте  країну.Нам ціни,а їм вілли</t>
  </si>
  <si>
    <t>Stefani Stefani</t>
  </si>
  <si>
    <t>Кажете війна? А їм похєр,красти і красти саме час((
Донька мера Тернополя купила маєток в Маямі за майже 2 млн доларів.
Вілла Анастасії Надал знаходиться в одному з найпрестижніших районів Маямі Coral Gables і офорлена на чоловіка Рубена Родрігеса. Офіційних доходів для придбання такої нерухомості у чоловіка не було.
Крім того, Надал придбала апартаменти у Маямі за 380 тисяч доларів також без підтвердження доходів.
НАБУ і САП відкрили провадження щодо незаконного збагачення Сергія Надала…</t>
  </si>
  <si>
    <t>Микола Мироненко</t>
  </si>
  <si>
    <t>slav.assorti</t>
  </si>
  <si>
    <t>Слов’янськ</t>
  </si>
  <si>
    <t>20:59</t>
  </si>
  <si>
    <t>Oleh Shmel напевно стісняюцца</t>
  </si>
  <si>
    <t>Артур Сторожук</t>
  </si>
  <si>
    <t>Ніколи такого не було, і от тобі знову…</t>
  </si>
  <si>
    <t>Igor Drogo</t>
  </si>
  <si>
    <t>Цікаво ці тружаники піт з лоба витирали часто.
А то праця.</t>
  </si>
  <si>
    <t>Алла Бесфамильная</t>
  </si>
  <si>
    <t>Головне, що в вишиванці!!!!!</t>
  </si>
  <si>
    <t>Olga Kuzmiy</t>
  </si>
  <si>
    <t>20:58</t>
  </si>
  <si>
    <t>Eugen Zaytsev</t>
  </si>
  <si>
    <t>eytzwk</t>
  </si>
  <si>
    <t>Ту довбану державу ті щурі розікрадуть.</t>
  </si>
  <si>
    <t>Євген Палиця</t>
  </si>
  <si>
    <t>20:57</t>
  </si>
  <si>
    <t>От Вам і щирі українці......</t>
  </si>
  <si>
    <t>Лідія Білик</t>
  </si>
  <si>
    <t>Victor Ars Ну як не працюють закони, то треба свого Робін Гуда.</t>
  </si>
  <si>
    <t>Tetiana Mozhaeva</t>
  </si>
  <si>
    <t>Коля</t>
  </si>
  <si>
    <t>NikolayLytsuba</t>
  </si>
  <si>
    <t>Одним- підвищення податків!
Іншим- вілли в Маямі!</t>
  </si>
  <si>
    <t>Виктория Виктория</t>
  </si>
  <si>
    <t>А що, немає за що купити. Ні тобі СБУ, ні Набу, нічого, всі збивають мільйони і немає на них управи.</t>
  </si>
  <si>
    <t>Nadiia Mykytiuk</t>
  </si>
  <si>
    <t>20:55</t>
  </si>
  <si>
    <t>Dmytro Dolnyi</t>
  </si>
  <si>
    <t>20:54</t>
  </si>
  <si>
    <t>Володимр</t>
  </si>
  <si>
    <t>volodimr30929</t>
  </si>
  <si>
    <t>Alexei🇺🇦🤝🇺🇸</t>
  </si>
  <si>
    <t>A_Rodkin_</t>
  </si>
  <si>
    <t>Green Chester</t>
  </si>
  <si>
    <t>GreenChester75</t>
  </si>
  <si>
    <t>слово України</t>
  </si>
  <si>
    <t>svitloua</t>
  </si>
  <si>
    <t>Новина не смішіть</t>
  </si>
  <si>
    <t>Сидорченко Артем</t>
  </si>
  <si>
    <t>А я, бляха, ФОП з депозитом маю надати довідку підтвердження доходів! Податки сплатила!!!
Бо в ПБ ЛІМІТ на місяць!!!
Заробила 300 000, перевела їх, а переказувати НЕ МОЖУ!!!
Офігіти!</t>
  </si>
  <si>
    <t>Tetyana Bilobrova</t>
  </si>
  <si>
    <t>Узин</t>
  </si>
  <si>
    <t>rbmp</t>
  </si>
  <si>
    <t>kwwonline</t>
  </si>
  <si>
    <t>Це в Тернополі мер видмив два з половиною мільйони доларів а хто йому в  цьому проекті допоміг він мусив з кимось ділитися  то вони всі разом скільки відмили  ?</t>
  </si>
  <si>
    <t>Ольга Кочурова</t>
  </si>
  <si>
    <t>Як ці виродки крадуть ! Це просто в голову не залазить.
А потім одягають вишиванки, і стають дуже набожними і щирими українцями.
Все українське зневілювали ці падлюки.</t>
  </si>
  <si>
    <t>Ivan Lavrik</t>
  </si>
  <si>
    <t>ivan.lavrik.7</t>
  </si>
  <si>
    <t>20:51</t>
  </si>
  <si>
    <t>То просто піздец</t>
  </si>
  <si>
    <t>Tara Pele</t>
  </si>
  <si>
    <t>taras.peleshok.1</t>
  </si>
  <si>
    <t>Алькала-де-Енарес</t>
  </si>
  <si>
    <t>20:50</t>
  </si>
  <si>
    <t>Arrogant Kid</t>
  </si>
  <si>
    <t>KidArrogant</t>
  </si>
  <si>
    <t>От вам і мери.</t>
  </si>
  <si>
    <t>Леся Дзядух</t>
  </si>
  <si>
    <t>Віктор Яр</t>
  </si>
  <si>
    <t>Vilintritenmert</t>
  </si>
  <si>
    <t>20:48</t>
  </si>
  <si>
    <t>Ти новинам декілька років...а віз і нині там</t>
  </si>
  <si>
    <t>Stop War</t>
  </si>
  <si>
    <t>LianiVelasquez</t>
  </si>
  <si>
    <t>Напала той хто  є ВО СВОБОДА)  не дивуюся.Лише прикро. Знаємся. За свобідну.Тільки у кожного своя.  ЗДОХНИ.
Донька мера Тернополя Сергія Надала придбала віллу майже за 2 млн доларів в престижному районі Маямі Coral Gables. 
Нерухомість оформлена на її чоловіка Рубена Родрігеса, офіційних доходів для такої покупки у нього не зафіксовано. Крім того, вона купила апартаменти у Маямі за 380 тисяч доларів без підтверджених джерел коштів.
Раніше НАБУ та САП відкривали провадження щодо можливого незаконного збагачення Сергія Надала.</t>
  </si>
  <si>
    <t>Алла Кушнир</t>
  </si>
  <si>
    <t>Кому війна, а кому мати рідна.</t>
  </si>
  <si>
    <t>20:46</t>
  </si>
  <si>
    <t>Ііііііііі??? Поговорили ііііііііі???</t>
  </si>
  <si>
    <t>Tamara Bobrovska</t>
  </si>
  <si>
    <t>Ірина Деменко</t>
  </si>
  <si>
    <t>dovzhira</t>
  </si>
  <si>
    <t>Ньюфаундленд і Лабрадор</t>
  </si>
  <si>
    <t>Корнер-Брук</t>
  </si>
  <si>
    <t>Катя Катерина</t>
  </si>
  <si>
    <t>miledu.k</t>
  </si>
  <si>
    <t>Ося Саідівна</t>
  </si>
  <si>
    <t>ser_373</t>
  </si>
  <si>
    <t>Леонід Мельник</t>
  </si>
  <si>
    <t>leonidamos777</t>
  </si>
  <si>
    <t>Peace Duck</t>
  </si>
  <si>
    <t>DeerMachinery</t>
  </si>
  <si>
    <t>20:39</t>
  </si>
  <si>
    <t>Вітаю доцю, гарний заможний тато, придбав таке щастя діткам. Моя мрія 👋</t>
  </si>
  <si>
    <t>Лариса Крамаренко</t>
  </si>
  <si>
    <t>Олег Новицкий</t>
  </si>
  <si>
    <t>ffe3bca533b047c</t>
  </si>
  <si>
    <t>Надія Маслакова</t>
  </si>
  <si>
    <t>LQu6vv0FrBNPeiY</t>
  </si>
  <si>
    <t>гоуст</t>
  </si>
  <si>
    <t>krafp1962</t>
  </si>
  <si>
    <t>20:34</t>
  </si>
  <si>
    <t>PMBR</t>
  </si>
  <si>
    <t>PMBR11</t>
  </si>
  <si>
    <t>Ray</t>
  </si>
  <si>
    <t>Ray_net_ua</t>
  </si>
  <si>
    <t>Їм , щирим володарям світу , давно то Всьо по барабану. Лише бідняків то ще турбує.</t>
  </si>
  <si>
    <t>Sergei Cascais</t>
  </si>
  <si>
    <t>sergei.cascais.3</t>
  </si>
  <si>
    <t>Carcavelos</t>
  </si>
  <si>
    <t>20:31</t>
  </si>
  <si>
    <t>Наталія</t>
  </si>
  <si>
    <t>notyouraverageua_444</t>
  </si>
  <si>
    <t>Bard Simpson🏴‍☠️🇰🇵</t>
  </si>
  <si>
    <t>killwekenny</t>
  </si>
  <si>
    <t>20:30</t>
  </si>
  <si>
    <t>ss</t>
  </si>
  <si>
    <t>ss907704</t>
  </si>
  <si>
    <t>20:29</t>
  </si>
  <si>
    <t>Aleksandr Miroshnichenko</t>
  </si>
  <si>
    <t>AleksandrM2820</t>
  </si>
  <si>
    <t>Тай таке...</t>
  </si>
  <si>
    <t>6dm4AgETt73ADP6</t>
  </si>
  <si>
    <t>Борщів</t>
  </si>
  <si>
    <t>Умнічка! А ви чекали що вона купить Мавіки в ЗСУ?</t>
  </si>
  <si>
    <t>Vova Krisstal</t>
  </si>
  <si>
    <t>EdgarNorton</t>
  </si>
  <si>
    <t>NortonEdgar777</t>
  </si>
  <si>
    <t>И этот ворюга.
Донька мера Тернополя Сергія Надала придбала віллу майже за 2 млн доларів в престижному районі Маямі Coral Gables. 
Нерухомість оформлена на її чоловіка Рубена Родрігеса, офіційних доходів для такої покупки у нього не зафіксовано. ...
Продовження тут https://t.me/ ITVh1Nv1FBVlMWVi</t>
  </si>
  <si>
    <t>Леонид Морозов</t>
  </si>
  <si>
    <t>TherapyBody</t>
  </si>
  <si>
    <t>Донька мера Тернополя Сергія Надала придбала віллу майже за 2 млн доларів в престижному районі Маямі Coral Gables. 
Нерухомість оформлена на її чоловіка Рубена Родрігеса, офіційних доходів для такої покупки у нього не зафіксовано. Крім того, вона купила апартаменти у Маямі за 380 тисяч доларів без підтверджених джерел коштів.
Раніше НАБУ та САП відкривали провадження щодо можливого незаконного збагачення Сергія Надала.#новиниукраїни</t>
  </si>
  <si>
    <t>ua.news.24</t>
  </si>
  <si>
    <t>Укр Девятнадцатый</t>
  </si>
  <si>
    <t>ua19_aleks</t>
  </si>
  <si>
    <t>instagram.com</t>
  </si>
  <si>
    <t>20:24</t>
  </si>
  <si>
    <t>Злодій.</t>
  </si>
  <si>
    <t>Людмила Смолина</t>
  </si>
  <si>
    <t>20:23</t>
  </si>
  <si>
    <t>Толік розкаже 🇺🇦</t>
  </si>
  <si>
    <t>biluhamedia</t>
  </si>
  <si>
    <t>Sophia</t>
  </si>
  <si>
    <t>Sophia_Vlnts</t>
  </si>
  <si>
    <t>20:22</t>
  </si>
  <si>
    <t>Нікуя собі мери заробляють</t>
  </si>
  <si>
    <t>Катерина Білозор</t>
  </si>
  <si>
    <t>Так і живемо😔</t>
  </si>
  <si>
    <t>Руслан Липа</t>
  </si>
  <si>
    <t>Самбір</t>
  </si>
  <si>
    <t>Господар ! Все до дому, все у сімʼю , все дітям. 
Нічого на ліво</t>
  </si>
  <si>
    <t>Alex Magnus</t>
  </si>
  <si>
    <t>UkraineForever</t>
  </si>
  <si>
    <t>UkraineSuper1</t>
  </si>
  <si>
    <t>20:19</t>
  </si>
  <si>
    <t>Ursaic</t>
  </si>
  <si>
    <t>20:18</t>
  </si>
  <si>
    <t>НАБУ і нічого так?</t>
  </si>
  <si>
    <t>Tatyana Mamedova</t>
  </si>
  <si>
    <t>20:17</t>
  </si>
  <si>
    <t>Не соромляться,все в них ок</t>
  </si>
  <si>
    <t>А чому дивно??? Хіба в них зарплата 200 євро?</t>
  </si>
  <si>
    <t>Любов Пономарьова</t>
  </si>
  <si>
    <t>Найсмішніше , що відкривали провадження про незаконне збагачення і що з того?</t>
  </si>
  <si>
    <t>Oksana Pylypiv</t>
  </si>
  <si>
    <t>oksana.pylypiv.3344</t>
  </si>
  <si>
    <t>То ще Садового діти не одружувались)))) Переживаю щоб Маямі повністю не купили в США</t>
  </si>
  <si>
    <t>20:13</t>
  </si>
  <si>
    <t>Ψαράς</t>
  </si>
  <si>
    <t>Yurek_00</t>
  </si>
  <si>
    <t>20:12</t>
  </si>
  <si>
    <t>bezsonnya</t>
  </si>
  <si>
    <t>Від садочка до Інституту  , до пенсійного фонду і ТД державні установи ,все корупція!</t>
  </si>
  <si>
    <t>Dmytro Konstantynov</t>
  </si>
  <si>
    <t>20:11</t>
  </si>
  <si>
    <t>А чо бігуси та інші не шукають його вілл в Іспанії??</t>
  </si>
  <si>
    <t>Oleh Shmel</t>
  </si>
  <si>
    <t>для цих істот наша країна просто місце для бізнесу, жаль цей страждальний народ який мусить гинути через таку нечисть.</t>
  </si>
  <si>
    <t>Nazar Igorovich</t>
  </si>
  <si>
    <t>nazar.prs</t>
  </si>
  <si>
    <t>я ж казав</t>
  </si>
  <si>
    <t>i_toId_u_so</t>
  </si>
  <si>
    <t>Ото Рубену поперло з тестем😂😂😂</t>
  </si>
  <si>
    <t>Shabat Sergiy</t>
  </si>
  <si>
    <t>Вишгород</t>
  </si>
  <si>
    <t>20:10</t>
  </si>
  <si>
    <t>ДІД СЕМЕНЯКА</t>
  </si>
  <si>
    <t>muramori</t>
  </si>
  <si>
    <t>Злодії і зами ! Вони пхають наших дітей їх захищати! А самі не не війні! І за цих злодіїв зник мій єдиний син а їх Господь Благословить і напакує грішми! Я буду гірко молитися і просити щоб їм так було солодко як мені😡😡😡</t>
  </si>
  <si>
    <t>Oksana Didkovskaya</t>
  </si>
  <si>
    <t>oksana.didkovskaya.37</t>
  </si>
  <si>
    <t>Элгин</t>
  </si>
  <si>
    <t>NInel Batozhna В дупу дивиця сумно😬 😳😄👎</t>
  </si>
  <si>
    <t>Taras Partem</t>
  </si>
  <si>
    <t>Noonie 🌻🏴󠁧󠁢󠁳󠁣󠁴󠁿🇪🇺🐭 in Budanov we trust</t>
  </si>
  <si>
    <t>ann_rattie</t>
  </si>
  <si>
    <t>20:09</t>
  </si>
  <si>
    <t>А куди дивиться НАБУ?</t>
  </si>
  <si>
    <t>NInel Batozhna</t>
  </si>
  <si>
    <t>Star Corsair</t>
  </si>
  <si>
    <t>povodyr1</t>
  </si>
  <si>
    <t>...але сам мер щирий українець, і ходить у вишиванці...</t>
  </si>
  <si>
    <t>Орест Даньків</t>
  </si>
  <si>
    <t>Саме головне що йому нічого не буде. Це простому дядькові вже би приписали.</t>
  </si>
  <si>
    <t>Ірина Мацура</t>
  </si>
  <si>
    <t>20:08</t>
  </si>
  <si>
    <t>Вадим Рахман</t>
  </si>
  <si>
    <t>rakhman.vadim</t>
  </si>
  <si>
    <t>Garik</t>
  </si>
  <si>
    <t>GarikZaZa</t>
  </si>
  <si>
    <t>Чи тільки його дочка, всіх мажорів діти за кордоном і мають вілли а вони бідні нещасні</t>
  </si>
  <si>
    <t>Галина Сеник</t>
  </si>
  <si>
    <t>Підкарпатське воєводство</t>
  </si>
  <si>
    <t>Сталёва-Воля</t>
  </si>
  <si>
    <t>20:06</t>
  </si>
  <si>
    <t>Добре знає таблицю ДІЛЕННЯ</t>
  </si>
  <si>
    <t>Анна Коваль</t>
  </si>
  <si>
    <t>20:05</t>
  </si>
  <si>
    <t>Nazar Maslianka</t>
  </si>
  <si>
    <t>masayuki_de</t>
  </si>
  <si>
    <t>IRIN_av777🇺🇦🇩🇬</t>
  </si>
  <si>
    <t>IRIN_av777</t>
  </si>
  <si>
    <t>Nadegda Haritonova присоском</t>
  </si>
  <si>
    <t>Лариса Освальд</t>
  </si>
  <si>
    <t>Тато в вишиванці ,бляха!"Щирий українець,патріжоп України"ОГИДНО!</t>
  </si>
  <si>
    <t>Olena Balayan</t>
  </si>
  <si>
    <t>olena.balayan</t>
  </si>
  <si>
    <t>ПАР</t>
  </si>
  <si>
    <t>Гаутенг</t>
  </si>
  <si>
    <t>Йоханнесбург</t>
  </si>
  <si>
    <t>Таких Надалів багато.Злодії.</t>
  </si>
  <si>
    <t>FELLAdvocate 🇺🇦✌️</t>
  </si>
  <si>
    <t>felladvocate</t>
  </si>
  <si>
    <t>Colonel Austin-Backen</t>
  </si>
  <si>
    <t>AustinBacken</t>
  </si>
  <si>
    <t>20:01</t>
  </si>
  <si>
    <t>Wenden</t>
  </si>
  <si>
    <t>WendenGall</t>
  </si>
  <si>
    <t>bek75</t>
  </si>
  <si>
    <t>bek753</t>
  </si>
  <si>
    <t>20:00</t>
  </si>
  <si>
    <t>ZEka Get</t>
  </si>
  <si>
    <t>GetZeka</t>
  </si>
  <si>
    <t>Yuliia Sribnaya</t>
  </si>
  <si>
    <t>Польінік злодій</t>
  </si>
  <si>
    <t>Petru Borsuc</t>
  </si>
  <si>
    <t>Товариство «Відсіч» (@vid.sich) on Threads • Донька мера Тернополя купила маєток в Маямі за майже 2 млн доларів.
Вілла Анастасії Надал знаходиться в одному з найпрестижніших районів Маямі Coral Gables і офорлена на чоловіка Рубена Родрігеса. Офіційних доходів для придбання такої нерухомості у чоловіка не було.
Крім того, Надал придбала апартаменти у Маямі за 380 тисяч доларів також без підтвердження доходів.
НАБУ і САП навіть відкрили провадження щодо незаконного збагачення Сергія Надала, але справа чомусь заглохла. Чому?
https://www.threads.com/t/DVQzxeSDKLr/</t>
  </si>
  <si>
    <t>Оксана Горінецька</t>
  </si>
  <si>
    <t>19:57</t>
  </si>
  <si>
    <t>дмитрий тимошенко</t>
  </si>
  <si>
    <t>dmitrytimoshenk</t>
  </si>
  <si>
    <t>Margo</t>
  </si>
  <si>
    <t>Margo93627365</t>
  </si>
  <si>
    <t>Вільний Художник</t>
  </si>
  <si>
    <t>FreedommanArtUA</t>
  </si>
  <si>
    <t>19:55</t>
  </si>
  <si>
    <t>天煙</t>
  </si>
  <si>
    <t>SeloRyasne</t>
  </si>
  <si>
    <t>Iryna</t>
  </si>
  <si>
    <t>IrinaOma16</t>
  </si>
  <si>
    <t>evil_tox</t>
  </si>
  <si>
    <t>eViL_TOX</t>
  </si>
  <si>
    <t>Yura</t>
  </si>
  <si>
    <t>Yura79705858</t>
  </si>
  <si>
    <t>Roman</t>
  </si>
  <si>
    <t>Romanselydove</t>
  </si>
  <si>
    <t>Селидове</t>
  </si>
  <si>
    <t>19:52</t>
  </si>
  <si>
    <t>Насосала ,не заработала.на рус звучить краще..... . Перемога буде</t>
  </si>
  <si>
    <t>Kamianskyi Oleh</t>
  </si>
  <si>
    <t>Демид Барыш</t>
  </si>
  <si>
    <t>Хмельницький базар</t>
  </si>
  <si>
    <t>19:48</t>
  </si>
  <si>
    <t>Кайдашева сім'я та інші</t>
  </si>
  <si>
    <t>ohrinivhiychit</t>
  </si>
  <si>
    <t>Хоменко Денис</t>
  </si>
  <si>
    <t>Kataxizis</t>
  </si>
  <si>
    <t>19:46</t>
  </si>
  <si>
    <t>19:44</t>
  </si>
  <si>
    <t>Roman✙</t>
  </si>
  <si>
    <t>roman19251</t>
  </si>
  <si>
    <t>Legends never die</t>
  </si>
  <si>
    <t>TarasovicTaras</t>
  </si>
  <si>
    <t>19:43</t>
  </si>
  <si>
    <t>Тамара Продан</t>
  </si>
  <si>
    <t>prodan_tamara</t>
  </si>
  <si>
    <t>19:42</t>
  </si>
  <si>
    <t>Аляху ікберь!🙏</t>
  </si>
  <si>
    <t>Pavel Sevostianov</t>
  </si>
  <si>
    <t>chessintermaster</t>
  </si>
  <si>
    <t>Дядя Пєтя 🇺🇦🇩🇪🇮🇱</t>
  </si>
  <si>
    <t>rus_zg</t>
  </si>
  <si>
    <t>19:41</t>
  </si>
  <si>
    <t>або Перексь або Са'нтайзер,</t>
  </si>
  <si>
    <t>inobandera</t>
  </si>
  <si>
    <t>19:40</t>
  </si>
  <si>
    <t>Maseych</t>
  </si>
  <si>
    <t>alien da nice</t>
  </si>
  <si>
    <t>oscar_kgt</t>
  </si>
  <si>
    <t>Pavel Sevostianov, можливо але ні!</t>
  </si>
  <si>
    <t>19:38</t>
  </si>
  <si>
    <t>Вікінг, терорист-монсеньйор</t>
  </si>
  <si>
    <t>viking_inc_</t>
  </si>
  <si>
    <t>А щастя і любові немає !!!!</t>
  </si>
  <si>
    <t>В'ячеслав Васильович</t>
  </si>
  <si>
    <t>По....</t>
  </si>
  <si>
    <t>cryogenicbreez</t>
  </si>
  <si>
    <t>19:36</t>
  </si>
  <si>
    <t>Тернопіль Новини🔥</t>
  </si>
  <si>
    <t>Premiuminform</t>
  </si>
  <si>
    <t>Ronteo</t>
  </si>
  <si>
    <t>RonTeoTwit</t>
  </si>
  <si>
    <t>Regal Rem</t>
  </si>
  <si>
    <t>VoroshilovSS</t>
  </si>
  <si>
    <t>Vaires-sur-Marne</t>
  </si>
  <si>
    <t>dar</t>
  </si>
  <si>
    <t>dargus7</t>
  </si>
  <si>
    <t>КОТ</t>
  </si>
  <si>
    <t>kit74702</t>
  </si>
  <si>
    <t>Роман Москаль</t>
  </si>
  <si>
    <t>RomanMoskal70</t>
  </si>
  <si>
    <t>Сергей Матиос Можливо раніше за Вас дон шановний дон 🤭</t>
  </si>
  <si>
    <t>Leonid Kovalov</t>
  </si>
  <si>
    <t>L_Kovalov</t>
  </si>
  <si>
    <t>Alexiy S.W.🔱</t>
  </si>
  <si>
    <t>SevrukovAlexiy</t>
  </si>
  <si>
    <t>Tat.Vladi / SilkWoolColors</t>
  </si>
  <si>
    <t>tat_vladi</t>
  </si>
  <si>
    <t>19:30</t>
  </si>
  <si>
    <t>Якщо 2 ляма вклала в нерухомість то її ще і обслуговувати потрібно і податки платити і відповідно це не останні кошти</t>
  </si>
  <si>
    <t>Александр Мельниченко</t>
  </si>
  <si>
    <t>19:25</t>
  </si>
  <si>
    <t>Кардинал Simon</t>
  </si>
  <si>
    <t>prelatSimon</t>
  </si>
  <si>
    <t>Анатолій Синявський</t>
  </si>
  <si>
    <t>AnatolSl</t>
  </si>
  <si>
    <t>19:24</t>
  </si>
  <si>
    <t>Донька мера Тернополя Сергія Надала придбала віллу майже за 2 млн доларів в престижному районі Маямі Coral Gables. 
Нерухомість оформлена на її чоловіка Рубена Родрігеса, офіційних доходів для такої покупки у нього не зафіксовано. Крім того, вона купила апартаменти у Маямі за 380 тисяч доларів без підтверджених джерел коштів.
Раніше НАБУ та САП відкривали провадження щодо можливого незаконного збагачення Сергія Надала.
Українські новини | UA News | Війна https://t.me/news_UA_war</t>
  </si>
  <si>
    <t>Українські новини | UA News | Війна</t>
  </si>
  <si>
    <t>news_UA_war</t>
  </si>
  <si>
    <t>19:23</t>
  </si>
  <si>
    <t>Донька націоналіста зі Свободи вийшла заміж за Рубена Родрігеса.
Ну те шо корупціонер, це не в новинку
Донька мера Тернополя Сергія Надала придбала віллу майже за 2 млн доларів в престижному районі Маямі Coral Gables. 
Нерухомість оформлена на її чоловіка Рубена Родрігеса, офіційних доходів для такої покупки у нього не зафіксовано. ...
Продовження тут https://t.me/ ITVh1Nv1FBVlMWVi</t>
  </si>
  <si>
    <t>Дух Анкориджа</t>
  </si>
  <si>
    <t>anchoragespirit</t>
  </si>
  <si>
    <t>Вони гірше за рашистів 🤬</t>
  </si>
  <si>
    <t>Светлана Варвус</t>
  </si>
  <si>
    <t>John Smith</t>
  </si>
  <si>
    <t>JohnSmi72001855</t>
  </si>
  <si>
    <t>19:21</t>
  </si>
  <si>
    <t>Юзик Романців</t>
  </si>
  <si>
    <t>sukutyra</t>
  </si>
  <si>
    <t>19:20</t>
  </si>
  <si>
    <t>Донька мера Тернополя Сергія Надала придбала віллу майже за 2 млн доларів в престижному районі Маямі Coral Gables.  Нерухомість оформлена на її чоловіка Рубена Родрігеса, офіційних доходів для такої покупки у нього не зафіксовано. Крім того, вона купила апартаменти у Маямі за 380 тисяч доларів без підтверджених джерел коштів. Раніше НАБУ та САП відкривали провадження щодо можливого незаконного збагачення Сергія Надала.  Підписуйтеся на ЄвроМайдан. Тільки правда, і нічого крім правди https://t.me/+ITVh1Nv1FBVlMWVi</t>
  </si>
  <si>
    <t>Він не крав, то в гаражі від бабусі знайшов цілу шухляду долярів</t>
  </si>
  <si>
    <t>☢️🤬VorchuN🤬☢️</t>
  </si>
  <si>
    <t>EDC - ЧАТ. EDC chat. Every Day Carry чат. ИДИСИ, ЕДЦ</t>
  </si>
  <si>
    <t>Tetiana Mozhaeva хто буде забирати ? Забирають у простих людей .. щоб багаті стали багатішими</t>
  </si>
  <si>
    <t>Bezturbotna</t>
  </si>
  <si>
    <t>Oksi9999999</t>
  </si>
  <si>
    <t>Байрактар 🇺🇦</t>
  </si>
  <si>
    <t>bairaktar_news</t>
  </si>
  <si>
    <t>Alex Gord</t>
  </si>
  <si>
    <t>DAWGOR193</t>
  </si>
  <si>
    <t>А как же Гидропарк, озеро и теплоходики?) И гаштеты прикольные (где змей горыныч из стены вылазит))</t>
  </si>
  <si>
    <t>КAV</t>
  </si>
  <si>
    <t>Колян</t>
  </si>
  <si>
    <t>Slav749</t>
  </si>
  <si>
    <t>CAPTAIN Serebrianskyi</t>
  </si>
  <si>
    <t>Luganskiy_Twi</t>
  </si>
  <si>
    <t>Цюрих</t>
  </si>
  <si>
    <t>ВОВАНВУЛКАН</t>
  </si>
  <si>
    <t>kripak_95</t>
  </si>
  <si>
    <t>Донька мера Тернополя Сергія Надала придбала віллу майже за 2 млн доларів в престижному районі Маямі Coral Gables.  Нерухомість оформлена на її чоловіка Рубена Родрігеса, офіційних доходів для такої покупки у нього не зафіксовано. Крім того, вона купила апартаменти у Маямі за 380 тисяч доларів без підтверджених джерел коштів. Раніше НАБУ та САП відкривали провадження щодо можливого незаконного збагачення Сергія Надала. 😂😂😂туда його ті йобані графіки світла😁😁😁</t>
  </si>
  <si>
    <t>Трохи військових теж харить це, але ще треба трохи часу, щоб вже допаяло.</t>
  </si>
  <si>
    <t>GwynBleidd</t>
  </si>
  <si>
    <t>Gwyn_Bleidd_A</t>
  </si>
  <si>
    <t>STERNENKO (чатик)</t>
  </si>
  <si>
    <t>19:08</t>
  </si>
  <si>
    <t>Ґєша✌️🇺🇦</t>
  </si>
  <si>
    <t>geshanet</t>
  </si>
  <si>
    <t>Где то в 90 х застряли ))) по дорогам заведениям трафику и чешкам )))</t>
  </si>
  <si>
    <t>Dok</t>
  </si>
  <si>
    <t>.</t>
  </si>
  <si>
    <t>Український Рух Пацифістів. Ukrainian Pacifist Movement. Украинское Движение Пацифистов Мир Peace Ukraine мобілізація тцк Коцаба</t>
  </si>
  <si>
    <t>19:06</t>
  </si>
  <si>
    <t>"Файне мисто Тэрнопиль" ))) Много раз проезжал и до революции гыдности и после помойка совдеповская ещё та!!!</t>
  </si>
  <si>
    <t>Ну є один плюс, у вас графіки відключення не жмуть, тому не так обідненько😂😂😂</t>
  </si>
  <si>
    <t>Serhii Kuznetsov</t>
  </si>
  <si>
    <t>Твій Кременчук</t>
  </si>
  <si>
    <t>Українці у Варшаві - Ukraińcy w Warszawie</t>
  </si>
  <si>
    <t>Файне місто Маямі😆</t>
  </si>
  <si>
    <t>Maxim Khodchenko</t>
  </si>
  <si>
    <t>massimo.hochinni</t>
  </si>
  <si>
    <t>Файне місто Тернопіль... Вау вау вау єєє</t>
  </si>
  <si>
    <t>Арсен</t>
  </si>
  <si>
    <t>Я з Тернополя, знав це😂</t>
  </si>
  <si>
    <t>Альберт</t>
  </si>
  <si>
    <t>qelfin</t>
  </si>
  <si>
    <t>19:03</t>
  </si>
  <si>
    <t>Донька мера Тернополя Сергія Надала придбала віллу майже за 2 млн доларів в престижному районі Маямі Coral Gables. 
Нерухомість оформлена на її чоловіка Рубена Родрігеса, офіційних доходів для такої покупки у нього не зафіксовано. Крім того, вона купила апартаменти у Маямі за 380 тисяч доларів без підтверджених джерел коштів.
Раніше НАБУ та САП відкривали провадження щодо можливого незаконного збагачення Сергія Надала.
😂😂😂туда його ті йобані графіки світла😁😁😁</t>
  </si>
  <si>
    <t>igor17030 igor17030</t>
  </si>
  <si>
    <t>Олексій Герасименко</t>
  </si>
  <si>
    <t>premium.ukraine</t>
  </si>
  <si>
    <t>Фастів</t>
  </si>
  <si>
    <t>🇺🇦 Info ua</t>
  </si>
  <si>
    <t>info_ua_news</t>
  </si>
  <si>
    <t>19:00</t>
  </si>
  <si>
    <t>JZX</t>
  </si>
  <si>
    <t>l1l1ns</t>
  </si>
  <si>
    <t>18:58</t>
  </si>
  <si>
    <t>Море 🌊</t>
  </si>
  <si>
    <t>ALAl18840361</t>
  </si>
  <si>
    <t>Pavel Sevostianov, Ви вже навчилися писати українською? Респект вам!</t>
  </si>
  <si>
    <t>18:57</t>
  </si>
  <si>
    <t>18:56</t>
  </si>
  <si>
    <t>Донька мера Тернополя Сергія Надала придбала віллу майже за 2 млн доларів в престижному районі Маямі Coral Gables. 
Нерухомість оформлена на її чоловіка Рубена Родрігеса, офіційних доходів для такої покупки у нього не зафіксовано. Крім того, вона купила апартаменти у Маямі за 380 тисяч доларів без підтверджених джерел коштів.
Раніше НАБУ та САП відкривали провадження щодо можливого незаконного збагачення Сергія Надала. 
Підписуйтеся на ЄвроМайдан. Тільки правда, і нічого крім правди</t>
  </si>
  <si>
    <t>EuroMaydan</t>
  </si>
  <si>
    <t>euromaydan</t>
  </si>
  <si>
    <t>Ти часом не донька мера Тернополя?</t>
  </si>
  <si>
    <t>Din feta kompis</t>
  </si>
  <si>
    <t>Din_feta_kompis</t>
  </si>
  <si>
    <t>Steam Deck Community</t>
  </si>
  <si>
    <t>ПіратПіМ | піратський чат | «Петро і Мазепа»</t>
  </si>
  <si>
    <t>Супер,  будем дружить значит)</t>
  </si>
  <si>
    <t>Серж Луцик</t>
  </si>
  <si>
    <t>Так а он в вышиванке. Все, не виновен https://t.me/lachentyt/60049?single
Лачен пише
Донька мера Тернополя Сергія Надала придбала віллу майже за 2 млн доларів в престижному районі Маямі Coral Gables. 
Нерухомість оформлена на її чоловіка Рубена Родрігеса, офіційних доходів для такої покупки у нього не зафіксовано. Крім того, вона купила апартаменти у Маямі за 380 тисяч доларів без підтверджених джерел коштів.
Раніше НАБУ та САП відкривали провадження щодо можливого незаконного збагачення Сергія Надала.
https://t.me/lachentyt/60049?single</t>
  </si>
  <si>
    <t>Eugen Semeniv</t>
  </si>
  <si>
    <t>infosec-kpi-chat</t>
  </si>
  <si>
    <t>🇺🇦 ЄвроМайдан 🇪🇺</t>
  </si>
  <si>
    <t>18:54</t>
  </si>
  <si>
    <t>Мрія рагульска дон
Живуть краще жіття дон</t>
  </si>
  <si>
    <t>Білоруська</t>
  </si>
  <si>
    <t>ЄвроМайдан</t>
  </si>
  <si>
    <t>euromaydannews</t>
  </si>
  <si>
    <t>Вчора підвозили військового з зони бойових дій. Хлопець з Тернополя. Воює з 2914. Приємна, світла людина. І тут читаєш про цю мразоту. Знаєте, що сказав військовій? Що перший наш ворог не рашка, а влада. Ось така мразота наш справжній ворог.</t>
  </si>
  <si>
    <t>Liubava Kostenetsky - Gorb</t>
  </si>
  <si>
    <t>Константин Виленович</t>
  </si>
  <si>
    <t>Nazariy Petryk</t>
  </si>
  <si>
    <t>headsmanc0de</t>
  </si>
  <si>
    <t>Поки в Україні війна, донька мера Тернополя Сергія Надала купує розкішну віллу за майже 2 млн доларів у престижному районі Маямі — Coral Gables
Маєток записаний на її чоловіка Рубена Родрігеса, але офіційних доходів, які б дозволяли таку покупку, у нього не зафіксовано. Додатково — ще й апартаменти в Маямі за 380 тисяч доларів без підтверджених джерел коштів.
Раніше НАБУ та САП уже відкривали провадження щодо можливого незаконного збагачення Сергія Надала.
АНТИКОР | http://t.me/antikor  🌐Сайт| https://antikor.com.ua/ 🟦X| https://x.com/antikorua?s=21&amp;t=XBN4ikrBcZICBNbQ49h1lA 🔷Facebook| https://www.facebook.com/share/1CMHd75TnT/?mibextid=kFxxJD 🟥Instagram https://www.instagram.com/antikorua?igsh=aHRxbjY4Z2VyanIx</t>
  </si>
  <si>
    <t>АНТИКОР</t>
  </si>
  <si>
    <t>antikor</t>
  </si>
  <si>
    <t>18:50</t>
  </si>
  <si>
    <t>Віктор Кручковський</t>
  </si>
  <si>
    <t>Лачен пише</t>
  </si>
  <si>
    <t>lachentyt</t>
  </si>
  <si>
    <t>Нова еліта Америки, або як програти війну українцям.</t>
  </si>
  <si>
    <t>Vita Vita Vita</t>
  </si>
  <si>
    <t>І зовсім недивно....</t>
  </si>
  <si>
    <t>Галина Годинчук</t>
  </si>
  <si>
    <t>Файне місто Тернопіль! Донька мера Тернополя купила маєток в Маямі за майже 2 млн доларів. Вілла Анастасії Надал</t>
  </si>
  <si>
    <t>От сволота підер сука на нуль і все конфіскувати і дочку  тоже із зятєм</t>
  </si>
  <si>
    <t>Игорь Нечай</t>
  </si>
  <si>
    <t>БОРИСПІЛЬЩИНА</t>
  </si>
  <si>
    <t>18:38</t>
  </si>
  <si>
    <t>Страшно уявити в яких масштабах обкрадається наша держава</t>
  </si>
  <si>
    <t>Настя Щаслива</t>
  </si>
  <si>
    <t>djd.kvitka</t>
  </si>
  <si>
    <t>Аня Осарчук</t>
  </si>
  <si>
    <t>18:34</t>
  </si>
  <si>
    <t>ЗАДОВБАЛИ! 
Коли вже у них все відберуть! Все до нитки!</t>
  </si>
  <si>
    <t>18:32</t>
  </si>
  <si>
    <t>Воєнним,пенсіонерам,інвалідам, підняти мінімалку у влади грошей немає.А як розкрадати є.Можє нам потрібно в нашій країні, щось змінювати?</t>
  </si>
  <si>
    <t>Анна Чупрукова</t>
  </si>
  <si>
    <t>18:31</t>
  </si>
  <si>
    <t>Велика радість в тернополян.Нарешті і дитина мера буде мати свій куточок для проживання
Донька мера Тернополя придбала елітну нерухомість у США: суми вражають
Анастасія Надал, донька міського голови Тернополя Сергія Надала, стала власницею елітної нерухомості у США. Йдеться про віллу в Маямі вартістю майже 2
https://www.stopcor.org/ukr/section-uanews/news-donka-mera-ternopolya-pridbala-elitnu-neruhomist-u-ssha-sumi-vrazhayut-27-02-2026.html</t>
  </si>
  <si>
    <t>Flentej Gena</t>
  </si>
  <si>
    <t>Ага наколядувала</t>
  </si>
  <si>
    <t>Руслан Джеэрчиэв</t>
  </si>
  <si>
    <t>Киргизька</t>
  </si>
  <si>
    <t>18:27</t>
  </si>
  <si>
    <t>Ці підари у владі охуелі вообще зелені гандон</t>
  </si>
  <si>
    <t>Максим Бойко</t>
  </si>
  <si>
    <t>18:21</t>
  </si>
  <si>
    <t>Файне місто Тернопіль!
Донька мера Тернополя купила маєток в Маямі за майже 2 млн доларів.
Вілла Анастасії Надал знаходиться в одному з найпрестижніших районів Маямі Coral Gables і офорлена на чоловіка Рубена Родрігеса. Офіційних доходів для придбання такої нерухомості у чоловіка не було.
Крім того, Надал придбала апартаменти у Маямі за 380 тисяч доларів також без підтвердження доходів.
НАБУ і САП відкрили провадження щодо незаконного збагачення Сергія Надала, але справа чомусь заглохла. Чому?</t>
  </si>
  <si>
    <t>Петровскис Игорь</t>
  </si>
  <si>
    <t>18:14</t>
  </si>
  <si>
    <t>Katerina Kravets</t>
  </si>
  <si>
    <t>18:13</t>
  </si>
  <si>
    <t>Вікторія Литовченко</t>
  </si>
  <si>
    <t>Олексій Сухобрус</t>
  </si>
  <si>
    <t>Ернест Куріан Не всіх ,а тільки 73% Люди все бачать і доля чаушеску не за горами для всіх слуг і служок.Наші люди є скрізь і вони дуже ЗЛІ. НАЧУВАЙТЕСЯ ПАДЛЮКИ</t>
  </si>
  <si>
    <t>Григорий Семера</t>
  </si>
  <si>
    <t>semeradip</t>
  </si>
  <si>
    <t>18:08</t>
  </si>
  <si>
    <t>Необандерівці, суки !</t>
  </si>
  <si>
    <t>Roman  Semak</t>
  </si>
  <si>
    <t>roman.semak.5</t>
  </si>
  <si>
    <t>18:05</t>
  </si>
  <si>
    <t>Ось де нормальні пенсії для людей</t>
  </si>
  <si>
    <t>Тетяна Манько</t>
  </si>
  <si>
    <t>Не забувайте наповнювати бюджет!
Донька мера Тернополя купила маєток в Маямі за майже 2 млн доларів.
Вілла Анастасії Надал знаходиться в одному з найпрестижніших районів Маямі Coral Gables і офорлена на чоловіка Рубена Родрігеса. Офіційних доходів для придбання такої нерухомості у чоловіка не було.
Крім того, Надал придбала апартаменти у Маямі за 380 тисяч доларів також без підтвердження доходів.
НАБУ і САП відкрили провадження щодо незаконного збагачення Сергія Надала, але справа чомусь заглохла. Чому?</t>
  </si>
  <si>
    <t>Dmytro Dusheiko</t>
  </si>
  <si>
    <t>dmytro.dusheyko</t>
  </si>
  <si>
    <t>вони з золотою соскою, їм можна</t>
  </si>
  <si>
    <t>Nadegda  Haritonova</t>
  </si>
  <si>
    <t>nadegda.haritonova</t>
  </si>
  <si>
    <t>17:41</t>
  </si>
  <si>
    <t>Kondra</t>
  </si>
  <si>
    <t>kondralllll</t>
  </si>
  <si>
    <t>17:35</t>
  </si>
  <si>
    <t>Ну як чому заглохла справа, бо вже отримали відкати ті про кого забули</t>
  </si>
  <si>
    <t>І всі купляють щось, далеко ,за кордоном, розграбували все що могли ,а жити туди ,далеко за кордоном</t>
  </si>
  <si>
    <t>Рімма Слюсар Корчева</t>
  </si>
  <si>
    <t>rimma.sliusar</t>
  </si>
  <si>
    <t>У них зарплати по лимону,красти нічого не треба,все законно</t>
  </si>
  <si>
    <t>Володимир Навоєнко</t>
  </si>
  <si>
    <t>navoenko</t>
  </si>
  <si>
    <t>Тому що націоналіст. Розширює межі присутності України</t>
  </si>
  <si>
    <t>Максим Нестеренко</t>
  </si>
  <si>
    <t>maksim.nesterenko</t>
  </si>
  <si>
    <t>Andrii Nemirovskiy</t>
  </si>
  <si>
    <t>nemi.and</t>
  </si>
  <si>
    <t>HELP AND PROTECTION _ ДОПОМОГА ТА ЗАХИСТ</t>
  </si>
  <si>
    <t>17:02</t>
  </si>
  <si>
    <t>Бааттьь та владна гидота тримає всіх людей за лохів..</t>
  </si>
  <si>
    <t>Ернест Куріан</t>
  </si>
  <si>
    <t>Оксана Артамонова</t>
  </si>
  <si>
    <t>Молодці🤡
Донька мера Тернополя купила маєток в Маямі за майже 2 млн доларів.
Вілла Анастасії Надал знаходиться в одному з найпрестижніших районів Маямі Coral Gables і офорлена на чоловіка Рубена Родрігеса. Офіційних доходів для придбання такої нерухомості у чоловіка не було.
Крім того, Надал придбала апартаменти у Маямі за 380 тисяч доларів також без підтвердження доходів.
НАБУ і САП відкрили провадження щодо незаконного збагачення Сергія Надала, але справа чомусь заглохла. Чому?</t>
  </si>
  <si>
    <t>Tolik Kashpirovskiy</t>
  </si>
  <si>
    <t>16:53</t>
  </si>
  <si>
    <t>Галина Балянда</t>
  </si>
  <si>
    <t>Natali 🇺🇦Odessa</t>
  </si>
  <si>
    <t>natali_zholud</t>
  </si>
  <si>
    <t>Разом переможемо</t>
  </si>
  <si>
    <t>Sergey Bondarenko</t>
  </si>
  <si>
    <t>sergey.bondarenko.3330</t>
  </si>
  <si>
    <t>Volodumur Sergiyovuch, просто гарний будинок</t>
  </si>
  <si>
    <t>Іванка Про Парфуми</t>
  </si>
  <si>
    <t>iva.kuz</t>
  </si>
  <si>
    <t>16:37</t>
  </si>
  <si>
    <t>всі все знають, - хто, де, коли і скільки... і постає питання - і ЩО?!, а відповідь  "собаки гавкають, а караван іде". І це уже зовсім не смішно</t>
  </si>
  <si>
    <t>Volodumur Sergiyovuch</t>
  </si>
  <si>
    <t>vartan.mkrtchan</t>
  </si>
  <si>
    <t>16:30</t>
  </si>
  <si>
    <t>Боже, в яких масштабах вони крадуть в українців-  це навіть собі не можна уявити і це робить так кожен мер, кожен голова отг, кожен директор, кожен чиновник, кожен прокурор їх всіх не перерахуєш Якесь жахіття.</t>
  </si>
  <si>
    <t>Lesia Lesia</t>
  </si>
  <si>
    <t>Так виглядає,що перезрілим мерінам треба не заступників з нагляду приставляти,а знімати вчасно:
⚡️ Лід з’являється тоді, коли вода замерзає, — мер Києва Віталій Кличко.
Донька мера Тернополя купила маєток у Маямі за майже 2 млн доларів.
Вілла Анастасії Надал знаходиться в одному з найпрестижніших районів Маямі Coral Gables і оформлена на чоловіка Рубена Родрігеса. Офіційних доходів для придбання такої нерухомості в чоловіка не було.
Крім того, Надал придбала апартаменти у Маямі за 380 тисяч доларів також без підтвердження доходів.</t>
  </si>
  <si>
    <t>Інна Москалець</t>
  </si>
  <si>
    <t>Ну досить вам. Досить заздрити…</t>
  </si>
  <si>
    <t>Van Gog</t>
  </si>
  <si>
    <t>Сергій Моша</t>
  </si>
  <si>
    <t>Петр Петров</t>
  </si>
  <si>
    <t>kenar27112</t>
  </si>
  <si>
    <t>Поки лохи в окопах дохнуть</t>
  </si>
  <si>
    <t>16:01</t>
  </si>
  <si>
    <t>В лотерею виграли 100%</t>
  </si>
  <si>
    <t>Bella-Natali Voronina</t>
  </si>
  <si>
    <t>Юрій Васильович Дубовик</t>
  </si>
  <si>
    <t>Віталій Кондратюк Кондратюк</t>
  </si>
  <si>
    <t>vitaliy.kondratyk</t>
  </si>
  <si>
    <t>Я-УКРАЇНЕЦЬ!</t>
  </si>
  <si>
    <t>Брюссельский столичный регион</t>
  </si>
  <si>
    <t>‼️ Донька мера Тернополя купила маєток у Маямі за майже 2 млн доларів.  🗣 Анастасія Надал придбала віллу в престижному районі Coral Gables, яка оформлена на її чоловіка Рубена Родрігеса. За офіційними даними, у нього не було доходів, достатніх для придбання такої нерухомості. Крім того, Надал також купила апартаменти у Маямі за 380 тисяч доларів без підтвердження джерел доходів. 🗣 НАБУ і САП відкрили провадження щодо можливого незаконного збагачення Сергія Надала, але справа досі заглохла.  🗣 У соцмережах навіть припускають, що Семен Кривонос може знати, чому розслідування не просунулося.</t>
  </si>
  <si>
    <t>Имя Anastasia Rodriguez никого не смущает?</t>
  </si>
  <si>
    <t>Egorka</t>
  </si>
  <si>
    <t>Novis6666</t>
  </si>
  <si>
    <t>Kyper News</t>
  </si>
  <si>
    <t>Эта власть это пиздец все крадут</t>
  </si>
  <si>
    <t>Lahk Hxixi</t>
  </si>
  <si>
    <t>devilautgd</t>
  </si>
  <si>
    <t>Жах, що робиться в країні!</t>
  </si>
  <si>
    <t>Галя Паламарчук</t>
  </si>
  <si>
    <t>‼️ Донька мера Тернополя купила маєток у Маямі за майже 2 млн доларів. 
🗣 Анастасія Надал придбала віллу в престижному районі Coral Gables, яка оформлена на її чоловіка Рубена Родрігеса. За офіційними даними, у нього не було доходів, достатніх для придбання такої нерухомості.
Крім того, Надал також купила апартаменти у Маямі за 380 тисяч доларів без підтвердження джерел доходів.
🗣 НАБУ і САП відкрили провадження щодо можливого незаконного збагачення Сергія Надала, але справа досі заглохла. 
🗣 У соцмережах навіть припускають, що Семен Кривонос може знати, чому розслідування не просунулося.</t>
  </si>
  <si>
    <t>kypernews</t>
  </si>
  <si>
    <t>Жили бедно! Хватит!.А вы войны не хотите ! Хотите Мира!</t>
  </si>
  <si>
    <t>Александр Дзюблюк</t>
  </si>
  <si>
    <t>15:20</t>
  </si>
  <si>
    <t>Илья Голубков</t>
  </si>
  <si>
    <t>Зинаида Васильевна</t>
  </si>
  <si>
    <t>Alessja Wojtowich</t>
  </si>
  <si>
    <t>alessja.wojtowich</t>
  </si>
  <si>
    <t>Це все на вкрадені в державі гроші.</t>
  </si>
  <si>
    <t>Петро Кисленко</t>
  </si>
  <si>
    <t>15:05</t>
  </si>
  <si>
    <t>Ось де наші пенсії Жахіття якесь найбідніша країна Світу за наший рахунок шикують та грабують про яку перемогу і повагу до України може йти мова..</t>
  </si>
  <si>
    <t>Mark Bello</t>
  </si>
  <si>
    <t>yra.mark.9</t>
  </si>
  <si>
    <t>Люба Фенчак вони народять байструнів і вони їм покажуть як треба жити</t>
  </si>
  <si>
    <t>Ольга Олька</t>
  </si>
  <si>
    <t>Андрей Щербина</t>
  </si>
  <si>
    <t>14:58</t>
  </si>
  <si>
    <t>Нормально влада прибарахлілась</t>
  </si>
  <si>
    <t>Енергодар</t>
  </si>
  <si>
    <t>Отак і живуть -,народ обкрадають!люди просто вимирають</t>
  </si>
  <si>
    <t>Люба Фенчак</t>
  </si>
  <si>
    <t>Галина Дёмина</t>
  </si>
  <si>
    <t>Гессен</t>
  </si>
  <si>
    <t>Вецлар</t>
  </si>
  <si>
    <t>14:48</t>
  </si>
  <si>
    <t>Радник</t>
  </si>
  <si>
    <t>Радник
02/27/2026 12:45:06 +00:00 @radnyknews
Майже за 2 млн доларів донька мера Тернополя купила маєток у Маямі
Нова вілла Анастасії Надал знаходиться в одному з найпрестижніших районів Маямі Coral Gables і оформлена на чоловіка Рубена Родрігеса. Офіційних доходів для придбання такої нерухомості в чоловіка не було.
Крім того, Надал придбала апартаменти у Маямі за 380 тисяч доларів також без підтвердження доходів.
Радник🇺🇦 👈 Підписатись</t>
  </si>
  <si>
    <t>Milficenta</t>
  </si>
  <si>
    <t>Metk0_o</t>
  </si>
  <si>
    <t>Новини Тернопіль 20 хвилин</t>
  </si>
  <si>
    <t>Блог</t>
  </si>
  <si>
    <t>🪙З 2 березня ці купюри більше не приймуть: де можна обміняти гривні, які вилучають з обігу Із 2 березня 2026 року частина дрібних гривневих банкнот остаточно втратить статус платіжного засобу — паперові купюри номіналом 1,</t>
  </si>
  <si>
    <t>https://t.me/radnyknews/36051
Радник
Майже за 2 млн доларів донька мера Тернополя купила маєток у Маямі
Нова вілла Анастасії Надал знаходиться в одному з найпрестижніших районів Маямі Coral Gables і оформлена на чоловіка Рубена Родрігеса. Офіційних доходів для придбання такої нерухомості в чоловіка не було.
Крім того, Надал придбала апартаменти у Маямі за 380 тисяч доларів також без підтвердження доходів.
Радник🇺🇦 👈 Підписатись
https://t.me/radnyknews/36051</t>
  </si>
  <si>
    <t>14:47</t>
  </si>
  <si>
    <t>Влад</t>
  </si>
  <si>
    <t>Zloyreducktor</t>
  </si>
  <si>
    <t>💬 Чат 24 каналу</t>
  </si>
  <si>
    <t>14:46</t>
  </si>
  <si>
    <t>antonov.vs</t>
  </si>
  <si>
    <t>Майже за 2 млн доларів донька мера Тернополя купила маєток у Маямі
Нова вілла Анастасії Надал знаходиться в одному з найпрестижніших районів Маямі Coral Gables і оформлена на чоловіка Рубена Родрігеса. Офіційних доходів для придбання такої нерухомості в чоловіка не було.
Крім того, Надал придбала апартаменти у Маямі за 380 тисяч доларів також без підтвердження доходів.
У НАБУ раніше відкрили справу, але чомусь про неї всі забули. Чому так?
Радник https://t.me/+kD-h4Olkd3djOTk6 🇺🇦 👈 Підписатись https://t.me/+kD-h4Olkd3djOTk6</t>
  </si>
  <si>
    <t>radnyknews</t>
  </si>
  <si>
    <t>Відсіч</t>
  </si>
  <si>
    <t>vidsichu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</si>
</sst>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font>
      <sz val="12"/>
      <color theme="1"/>
      <name val="Aptos Narrow"/>
      <family val="2"/>
      <charset val="204"/>
      <scheme val="minor"/>
    </font>
    <font>
      <sz val="10"/>
      <color theme="1"/>
      <name val="Arial"/>
      <family val="2"/>
    </font>
    <font>
      <sz val="18"/>
      <color theme="3"/>
      <name val="Aptos Display"/>
      <family val="2"/>
      <charset val="204"/>
      <scheme val="major"/>
    </font>
    <font>
      <b/>
      <sz val="15"/>
      <color theme="3"/>
      <name val="Aptos Narrow"/>
      <family val="2"/>
      <charset val="204"/>
      <scheme val="minor"/>
    </font>
    <font>
      <b/>
      <sz val="13"/>
      <color theme="3"/>
      <name val="Aptos Narrow"/>
      <family val="2"/>
      <charset val="204"/>
      <scheme val="minor"/>
    </font>
    <font>
      <b/>
      <sz val="11"/>
      <color theme="3"/>
      <name val="Aptos Narrow"/>
      <family val="2"/>
      <charset val="204"/>
      <scheme val="minor"/>
    </font>
    <font>
      <sz val="12"/>
      <color rgb="FF006100"/>
      <name val="Aptos Narrow"/>
      <family val="2"/>
      <charset val="204"/>
      <scheme val="minor"/>
    </font>
    <font>
      <sz val="12"/>
      <color rgb="FF9C0006"/>
      <name val="Aptos Narrow"/>
      <family val="2"/>
      <charset val="204"/>
      <scheme val="minor"/>
    </font>
    <font>
      <sz val="12"/>
      <color rgb="FF9C5700"/>
      <name val="Aptos Narrow"/>
      <family val="2"/>
      <charset val="204"/>
      <scheme val="minor"/>
    </font>
    <font>
      <sz val="12"/>
      <color rgb="FF3F3F76"/>
      <name val="Aptos Narrow"/>
      <family val="2"/>
      <charset val="204"/>
      <scheme val="minor"/>
    </font>
    <font>
      <b/>
      <sz val="12"/>
      <color rgb="FF3F3F3F"/>
      <name val="Aptos Narrow"/>
      <family val="2"/>
      <charset val="204"/>
      <scheme val="minor"/>
    </font>
    <font>
      <b/>
      <sz val="12"/>
      <color rgb="FFFA7D00"/>
      <name val="Aptos Narrow"/>
      <family val="2"/>
      <charset val="204"/>
      <scheme val="minor"/>
    </font>
    <font>
      <sz val="12"/>
      <color rgb="FFFA7D00"/>
      <name val="Aptos Narrow"/>
      <family val="2"/>
      <charset val="204"/>
      <scheme val="minor"/>
    </font>
    <font>
      <b/>
      <sz val="12"/>
      <color theme="0"/>
      <name val="Aptos Narrow"/>
      <family val="2"/>
      <charset val="204"/>
      <scheme val="minor"/>
    </font>
    <font>
      <sz val="12"/>
      <color rgb="FFFF0000"/>
      <name val="Aptos Narrow"/>
      <family val="2"/>
      <charset val="204"/>
      <scheme val="minor"/>
    </font>
    <font>
      <i/>
      <sz val="12"/>
      <color rgb="FF7F7F7F"/>
      <name val="Aptos Narrow"/>
      <family val="2"/>
      <charset val="204"/>
      <scheme val="minor"/>
    </font>
    <font>
      <b/>
      <sz val="12"/>
      <color theme="1"/>
      <name val="Aptos Narrow"/>
      <family val="2"/>
      <charset val="204"/>
      <scheme val="minor"/>
    </font>
    <font>
      <sz val="12"/>
      <color theme="0"/>
      <name val="Aptos Narrow"/>
      <family val="2"/>
      <charset val="204"/>
      <scheme val="minor"/>
    </font>
  </fonts>
  <fills count="33">
    <fill>
      <patternFill patternType="none"/>
    </fill>
    <fill>
      <patternFill patternType="gray125"/>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FFFFCC"/>
        <bgColor indexed="64"/>
      </patternFill>
    </fill>
    <fill>
      <patternFill patternType="solid">
        <fgColor theme="4"/>
        <bgColor indexed="64"/>
      </patternFill>
    </fill>
    <fill>
      <patternFill patternType="solid">
        <fgColor theme="4" tint="0.799979984760284"/>
        <bgColor indexed="64"/>
      </patternFill>
    </fill>
    <fill>
      <patternFill patternType="solid">
        <fgColor theme="4" tint="0.599990010261536"/>
        <bgColor indexed="64"/>
      </patternFill>
    </fill>
    <fill>
      <patternFill patternType="solid">
        <fgColor theme="4" tint="0.399980008602142"/>
        <bgColor indexed="64"/>
      </patternFill>
    </fill>
    <fill>
      <patternFill patternType="solid">
        <fgColor theme="5"/>
        <bgColor indexed="64"/>
      </patternFill>
    </fill>
    <fill>
      <patternFill patternType="solid">
        <fgColor theme="5" tint="0.799979984760284"/>
        <bgColor indexed="64"/>
      </patternFill>
    </fill>
    <fill>
      <patternFill patternType="solid">
        <fgColor theme="5" tint="0.599990010261536"/>
        <bgColor indexed="64"/>
      </patternFill>
    </fill>
    <fill>
      <patternFill patternType="solid">
        <fgColor theme="5" tint="0.399980008602142"/>
        <bgColor indexed="64"/>
      </patternFill>
    </fill>
    <fill>
      <patternFill patternType="solid">
        <fgColor theme="6"/>
        <bgColor indexed="64"/>
      </patternFill>
    </fill>
    <fill>
      <patternFill patternType="solid">
        <fgColor theme="6" tint="0.799979984760284"/>
        <bgColor indexed="64"/>
      </patternFill>
    </fill>
    <fill>
      <patternFill patternType="solid">
        <fgColor theme="6" tint="0.599990010261536"/>
        <bgColor indexed="64"/>
      </patternFill>
    </fill>
    <fill>
      <patternFill patternType="solid">
        <fgColor theme="6" tint="0.399980008602142"/>
        <bgColor indexed="64"/>
      </patternFill>
    </fill>
    <fill>
      <patternFill patternType="solid">
        <fgColor theme="7"/>
        <bgColor indexed="64"/>
      </patternFill>
    </fill>
    <fill>
      <patternFill patternType="solid">
        <fgColor theme="7" tint="0.799979984760284"/>
        <bgColor indexed="64"/>
      </patternFill>
    </fill>
    <fill>
      <patternFill patternType="solid">
        <fgColor theme="7" tint="0.599990010261536"/>
        <bgColor indexed="64"/>
      </patternFill>
    </fill>
    <fill>
      <patternFill patternType="solid">
        <fgColor theme="7" tint="0.399980008602142"/>
        <bgColor indexed="64"/>
      </patternFill>
    </fill>
    <fill>
      <patternFill patternType="solid">
        <fgColor theme="8"/>
        <bgColor indexed="64"/>
      </patternFill>
    </fill>
    <fill>
      <patternFill patternType="solid">
        <fgColor theme="8" tint="0.799979984760284"/>
        <bgColor indexed="64"/>
      </patternFill>
    </fill>
    <fill>
      <patternFill patternType="solid">
        <fgColor theme="8" tint="0.599990010261536"/>
        <bgColor indexed="64"/>
      </patternFill>
    </fill>
    <fill>
      <patternFill patternType="solid">
        <fgColor theme="8" tint="0.399980008602142"/>
        <bgColor indexed="64"/>
      </patternFill>
    </fill>
    <fill>
      <patternFill patternType="solid">
        <fgColor theme="9"/>
        <bgColor indexed="64"/>
      </patternFill>
    </fill>
    <fill>
      <patternFill patternType="solid">
        <fgColor theme="9" tint="0.799979984760284"/>
        <bgColor indexed="64"/>
      </patternFill>
    </fill>
    <fill>
      <patternFill patternType="solid">
        <fgColor theme="9" tint="0.599990010261536"/>
        <bgColor indexed="64"/>
      </patternFill>
    </fill>
    <fill>
      <patternFill patternType="solid">
        <fgColor theme="9" tint="0.399980008602142"/>
        <bgColor indexed="64"/>
      </patternFill>
    </fill>
  </fills>
  <borders count="10">
    <border>
      <left/>
      <right/>
      <top/>
      <bottom/>
      <diagonal/>
    </border>
    <border>
      <left/>
      <right/>
      <top/>
      <bottom style="thick">
        <color theme="4"/>
      </bottom>
    </border>
    <border>
      <left/>
      <right/>
      <top/>
      <bottom style="thick">
        <color theme="4" tint="0.499980002641678"/>
      </bottom>
    </border>
    <border>
      <left/>
      <right/>
      <top/>
      <bottom style="medium">
        <color theme="4" tint="0.399980008602142"/>
      </bottom>
    </border>
    <border>
      <left style="thin">
        <color rgb="FF7F7F7F"/>
      </left>
      <right style="thin">
        <color rgb="FF7F7F7F"/>
      </right>
      <top style="thin">
        <color rgb="FF7F7F7F"/>
      </top>
      <bottom style="thin">
        <color rgb="FF7F7F7F"/>
      </bottom>
    </border>
    <border>
      <left style="thin">
        <color rgb="FF3F3F3F"/>
      </left>
      <right style="thin">
        <color rgb="FF3F3F3F"/>
      </right>
      <top style="thin">
        <color rgb="FF3F3F3F"/>
      </top>
      <bottom style="thin">
        <color rgb="FF3F3F3F"/>
      </bottom>
    </border>
    <border>
      <left/>
      <right/>
      <top/>
      <bottom style="double">
        <color rgb="FFFF8001"/>
      </bottom>
    </border>
    <border>
      <left style="double">
        <color rgb="FF3F3F3F"/>
      </left>
      <right style="double">
        <color rgb="FF3F3F3F"/>
      </right>
      <top style="double">
        <color rgb="FF3F3F3F"/>
      </top>
      <bottom style="double">
        <color rgb="FF3F3F3F"/>
      </bottom>
    </border>
    <border>
      <left style="thin">
        <color rgb="FFB2B2B2"/>
      </left>
      <right style="thin">
        <color rgb="FFB2B2B2"/>
      </right>
      <top style="thin">
        <color rgb="FFB2B2B2"/>
      </top>
      <bottom style="thin">
        <color rgb="FFB2B2B2"/>
      </bottom>
    </border>
    <border>
      <left/>
      <right/>
      <top style="thin">
        <color theme="4"/>
      </top>
      <bottom style="double">
        <color theme="4"/>
      </bottom>
    </border>
  </borders>
  <cellStyleXfs count="61">
    <xf numFmtId="0" fontId="0" fillId="0" borderId="0">
      <alignment/>
      <protection/>
    </xf>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0"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0" fillId="10" borderId="0" applyNumberFormat="0" applyBorder="0" applyAlignment="0" applyProtection="0"/>
    <xf numFmtId="0" fontId="0" fillId="11" borderId="0" applyNumberFormat="0" applyBorder="0" applyAlignment="0" applyProtection="0"/>
    <xf numFmtId="0" fontId="0" fillId="12" borderId="0" applyNumberFormat="0" applyBorder="0" applyAlignment="0" applyProtection="0"/>
    <xf numFmtId="0" fontId="17" fillId="13" borderId="0" applyNumberFormat="0" applyBorder="0" applyAlignment="0" applyProtection="0"/>
    <xf numFmtId="0" fontId="0" fillId="14" borderId="0" applyNumberFormat="0" applyBorder="0" applyAlignment="0" applyProtection="0"/>
    <xf numFmtId="0" fontId="0" fillId="15" borderId="0" applyNumberFormat="0" applyBorder="0" applyAlignment="0" applyProtection="0"/>
    <xf numFmtId="0" fontId="0" fillId="16" borderId="0" applyNumberFormat="0" applyBorder="0" applyAlignment="0" applyProtection="0"/>
    <xf numFmtId="0" fontId="17" fillId="17" borderId="0" applyNumberFormat="0" applyBorder="0" applyAlignment="0" applyProtection="0"/>
    <xf numFmtId="0" fontId="0" fillId="18" borderId="0" applyNumberFormat="0" applyBorder="0" applyAlignment="0" applyProtection="0"/>
    <xf numFmtId="0" fontId="0" fillId="19" borderId="0" applyNumberFormat="0" applyBorder="0" applyAlignment="0" applyProtection="0"/>
    <xf numFmtId="0" fontId="0" fillId="20" borderId="0" applyNumberFormat="0" applyBorder="0" applyAlignment="0" applyProtection="0"/>
    <xf numFmtId="0" fontId="17" fillId="21" borderId="0" applyNumberFormat="0" applyBorder="0" applyAlignment="0" applyProtection="0"/>
    <xf numFmtId="0" fontId="0" fillId="22" borderId="0" applyNumberFormat="0" applyBorder="0" applyAlignment="0" applyProtection="0"/>
    <xf numFmtId="0" fontId="0" fillId="23" borderId="0" applyNumberFormat="0" applyBorder="0" applyAlignment="0" applyProtection="0"/>
    <xf numFmtId="0" fontId="0" fillId="24" borderId="0" applyNumberFormat="0" applyBorder="0" applyAlignment="0" applyProtection="0"/>
    <xf numFmtId="0" fontId="17" fillId="25" borderId="0" applyNumberFormat="0" applyBorder="0" applyAlignment="0" applyProtection="0"/>
    <xf numFmtId="0" fontId="0" fillId="26" borderId="0" applyNumberFormat="0" applyBorder="0" applyAlignment="0" applyProtection="0"/>
    <xf numFmtId="0" fontId="0" fillId="27" borderId="0" applyNumberFormat="0" applyBorder="0" applyAlignment="0" applyProtection="0"/>
    <xf numFmtId="0" fontId="0" fillId="28" borderId="0" applyNumberFormat="0" applyBorder="0" applyAlignment="0" applyProtection="0"/>
    <xf numFmtId="0" fontId="17" fillId="29" borderId="0" applyNumberFormat="0" applyBorder="0" applyAlignment="0" applyProtection="0"/>
    <xf numFmtId="0" fontId="0" fillId="30" borderId="0" applyNumberFormat="0" applyBorder="0" applyAlignment="0" applyProtection="0"/>
    <xf numFmtId="0" fontId="0" fillId="31" borderId="0" applyNumberFormat="0" applyBorder="0" applyAlignment="0" applyProtection="0"/>
    <xf numFmtId="0" fontId="0" fillId="32" borderId="0" applyNumberFormat="0" applyBorder="0" applyAlignment="0" applyProtection="0"/>
  </cellStyleXfs>
  <cellXfs count="1">
    <xf numFmtId="0" fontId="0" fillId="0" borderId="0" xfId="0"/>
  </cellXfs>
  <cellStyles count="47">
    <cellStyle name="Normal" xfId="0" builtinId="0"/>
    <cellStyle name="Percent" xfId="15" builtinId="5"/>
    <cellStyle name="Currency" xfId="16" builtinId="4"/>
    <cellStyle name="Currency [0]" xfId="17" builtinId="7"/>
    <cellStyle name="Comma" xfId="18" builtinId="3"/>
    <cellStyle name="Comma [0]" xfId="19" builtinId="6"/>
    <cellStyle name="Название" xfId="20" builtinId="15"/>
    <cellStyle name="Заголовок 1" xfId="21" builtinId="16"/>
    <cellStyle name="Заголовок 2" xfId="22" builtinId="17"/>
    <cellStyle name="Заголовок 3" xfId="23" builtinId="18"/>
    <cellStyle name="Заголовок 4" xfId="24" builtinId="19"/>
    <cellStyle name="Хороший" xfId="25" builtinId="26"/>
    <cellStyle name="Плохой" xfId="26" builtinId="27"/>
    <cellStyle name="Нейтральный" xfId="27" builtinId="28"/>
    <cellStyle name="Ввод " xfId="28" builtinId="20"/>
    <cellStyle name="Вывод" xfId="29" builtinId="21"/>
    <cellStyle name="Вычисление" xfId="30" builtinId="22"/>
    <cellStyle name="Связанная ячейка" xfId="31" builtinId="24"/>
    <cellStyle name="Контрольная ячейка" xfId="32" builtinId="23"/>
    <cellStyle name="Текст предупреждения" xfId="33" builtinId="11"/>
    <cellStyle name="Примечание" xfId="34" builtinId="10"/>
    <cellStyle name="Пояснение" xfId="35" builtinId="53"/>
    <cellStyle name="Итог" xfId="36" builtinId="25"/>
    <cellStyle name="Акцент1" xfId="37" builtinId="29"/>
    <cellStyle name="20% — акцент1" xfId="38" builtinId="30"/>
    <cellStyle name="40% — акцент1" xfId="39" builtinId="31"/>
    <cellStyle name="60% — акцент1" xfId="40" builtinId="32"/>
    <cellStyle name="Акцент2" xfId="41" builtinId="33"/>
    <cellStyle name="20% — акцент2" xfId="42" builtinId="34"/>
    <cellStyle name="40% — акцент2" xfId="43" builtinId="35"/>
    <cellStyle name="60% — акцент2" xfId="44" builtinId="36"/>
    <cellStyle name="Акцент3" xfId="45" builtinId="37"/>
    <cellStyle name="20% — акцент3" xfId="46" builtinId="38"/>
    <cellStyle name="40% — акцент3" xfId="47" builtinId="39"/>
    <cellStyle name="60% — акцент3" xfId="48" builtinId="40"/>
    <cellStyle name="Акцент4" xfId="49" builtinId="41"/>
    <cellStyle name="20% — акцент4" xfId="50" builtinId="42"/>
    <cellStyle name="40% — акцент4" xfId="51" builtinId="43"/>
    <cellStyle name="60% — акцент4" xfId="52" builtinId="44"/>
    <cellStyle name="Акцент5" xfId="53" builtinId="45"/>
    <cellStyle name="20% — акцент5" xfId="54" builtinId="46"/>
    <cellStyle name="40% — акцент5" xfId="55" builtinId="47"/>
    <cellStyle name="60% — акцент5" xfId="56" builtinId="48"/>
    <cellStyle name="Акцент6" xfId="57" builtinId="49"/>
    <cellStyle name="20% — акцент6" xfId="58" builtinId="50"/>
    <cellStyle name="40% — акцент6" xfId="59" builtinId="51"/>
    <cellStyle name="60% — акцент6" xfId="60" builtinId="52"/>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ype="http://schemas.openxmlformats.org/officeDocument/2006/relationships/theme" Target="theme/theme1.xml" /><Relationship Id="rId5" Type="http://schemas.openxmlformats.org/officeDocument/2006/relationships/calcChain" Target="calcChain.xml" /><Relationship Id="rId2" Type="http://schemas.openxmlformats.org/officeDocument/2006/relationships/styles" Target="styles.xml" /><Relationship Id="rId3" Type="http://schemas.openxmlformats.org/officeDocument/2006/relationships/worksheet" Target="worksheets/sheet1.xml" /><Relationship Id="rId4" Type="http://schemas.openxmlformats.org/officeDocument/2006/relationships/sharedStrings" Target="sharedStrings.xml" /></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Стандартная">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000-000000000000}">
  <dimension ref="A1:V1298"/>
  <sheetViews>
    <sheetView tabSelected="1" workbookViewId="0" topLeftCell="A1">
      <selection pane="topLeft" activeCell="R1" sqref="R1:R1048576"/>
    </sheetView>
  </sheetViews>
  <sheetFormatPr defaultColWidth="11.1155555555556" defaultRowHeight="16"/>
  <cols>
    <col min="6" max="6" width="23" customWidth="1"/>
  </cols>
  <sheetData>
    <row r="1" spans="1:22" ht="16">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row>
    <row r="2" spans="1:21" ht="16">
      <c r="A2" t="s">
        <v>22</v>
      </c>
      <c r="B2" t="s">
        <v>23</v>
      </c>
      <c r="C2" t="s">
        <v>24</v>
      </c>
      <c r="D2" t="s">
        <v>25</v>
      </c>
      <c r="E2" t="s">
        <v>26</v>
      </c>
      <c r="F2" t="s">
        <v>27</v>
      </c>
      <c r="G2" t="str">
        <f>HYPERLINK("https://www.facebook.com/1654751182341192")</f>
        <v>https://www.facebook.com/1654751182341192</v>
      </c>
      <c r="H2" t="s">
        <v>28</v>
      </c>
      <c r="I2" t="s">
        <v>29</v>
      </c>
      <c r="K2" t="str">
        <f>HYPERLINK("https://www.facebook.com/100034189774885")</f>
        <v>https://www.facebook.com/100034189774885</v>
      </c>
      <c r="M2" t="s">
        <v>30</v>
      </c>
      <c r="N2" t="s">
        <v>31</v>
      </c>
      <c r="O2" t="s">
        <v>29</v>
      </c>
      <c r="P2" t="str">
        <f>HYPERLINK("https://www.facebook.com/100034189774885")</f>
        <v>https://www.facebook.com/100034189774885</v>
      </c>
      <c r="R2" t="s">
        <v>32</v>
      </c>
      <c r="S2" t="s">
        <v>33</v>
      </c>
      <c r="T2" t="s">
        <v>34</v>
      </c>
      <c r="U2" t="s">
        <v>35</v>
      </c>
    </row>
    <row r="3" spans="1:22" ht="16">
      <c r="A3" t="s">
        <v>22</v>
      </c>
      <c r="B3" t="s">
        <v>36</v>
      </c>
      <c r="C3" t="s">
        <v>24</v>
      </c>
      <c r="D3" t="s">
        <v>37</v>
      </c>
      <c r="E3" t="s">
        <v>26</v>
      </c>
      <c r="F3" t="s">
        <v>27</v>
      </c>
      <c r="G3" t="str">
        <f>HYPERLINK("https://www.facebook.com/1807579883531229")</f>
        <v>https://www.facebook.com/1807579883531229</v>
      </c>
      <c r="H3" t="s">
        <v>28</v>
      </c>
      <c r="I3" t="s">
        <v>38</v>
      </c>
      <c r="J3" t="s">
        <v>39</v>
      </c>
      <c r="K3" t="str">
        <f>HYPERLINK("https://www.facebook.com/100028377047190")</f>
        <v>https://www.facebook.com/100028377047190</v>
      </c>
      <c r="M3" t="s">
        <v>40</v>
      </c>
      <c r="N3" t="s">
        <v>31</v>
      </c>
      <c r="O3" t="s">
        <v>38</v>
      </c>
      <c r="P3" t="str">
        <f>HYPERLINK("https://www.facebook.com/100028377047190")</f>
        <v>https://www.facebook.com/100028377047190</v>
      </c>
      <c r="R3" t="s">
        <v>32</v>
      </c>
      <c r="S3" t="s">
        <v>33</v>
      </c>
      <c r="T3" t="s">
        <v>34</v>
      </c>
      <c r="U3" t="s">
        <v>41</v>
      </c>
      <c r="V3" t="s">
        <v>42</v>
      </c>
    </row>
    <row r="4" spans="1:19" ht="16">
      <c r="A4" t="s">
        <v>22</v>
      </c>
      <c r="B4" t="s">
        <v>43</v>
      </c>
      <c r="C4" t="s">
        <v>24</v>
      </c>
      <c r="D4" t="s">
        <v>44</v>
      </c>
      <c r="E4" t="s">
        <v>45</v>
      </c>
      <c r="F4" t="s">
        <v>46</v>
      </c>
      <c r="G4" t="str">
        <f>HYPERLINK("https://www.facebook.com/1286572346708986")</f>
        <v>https://www.facebook.com/1286572346708986</v>
      </c>
      <c r="H4" t="s">
        <v>28</v>
      </c>
      <c r="I4" t="s">
        <v>47</v>
      </c>
      <c r="K4" t="str">
        <f>HYPERLINK("https://www.facebook.com/100060686988083")</f>
        <v>https://www.facebook.com/100060686988083</v>
      </c>
      <c r="M4" t="s">
        <v>30</v>
      </c>
      <c r="N4" t="s">
        <v>31</v>
      </c>
      <c r="O4" t="s">
        <v>47</v>
      </c>
      <c r="P4" t="str">
        <f>HYPERLINK("https://www.facebook.com/100060686988083")</f>
        <v>https://www.facebook.com/100060686988083</v>
      </c>
      <c r="R4" t="s">
        <v>32</v>
      </c>
      <c r="S4" t="s">
        <v>33</v>
      </c>
    </row>
    <row r="5" spans="1:19" ht="16">
      <c r="A5" t="s">
        <v>22</v>
      </c>
      <c r="B5" t="s">
        <v>48</v>
      </c>
      <c r="C5" t="s">
        <v>24</v>
      </c>
      <c r="D5" t="s">
        <v>49</v>
      </c>
      <c r="E5" t="s">
        <v>45</v>
      </c>
      <c r="F5" t="s">
        <v>46</v>
      </c>
      <c r="G5" t="str">
        <f>HYPERLINK("https://www.facebook.com/2818231828547126")</f>
        <v>https://www.facebook.com/2818231828547126</v>
      </c>
      <c r="H5" t="s">
        <v>28</v>
      </c>
      <c r="I5" t="s">
        <v>50</v>
      </c>
      <c r="J5" t="s">
        <v>51</v>
      </c>
      <c r="K5" t="str">
        <f>HYPERLINK("https://www.facebook.com/100010452940631")</f>
        <v>https://www.facebook.com/100010452940631</v>
      </c>
      <c r="M5" t="s">
        <v>30</v>
      </c>
      <c r="N5" t="s">
        <v>31</v>
      </c>
      <c r="O5" t="s">
        <v>52</v>
      </c>
      <c r="P5" t="str">
        <f>HYPERLINK("https://www.facebook.com/390504531319880")</f>
        <v>https://www.facebook.com/390504531319880</v>
      </c>
      <c r="Q5">
        <v>41676</v>
      </c>
      <c r="R5" t="s">
        <v>32</v>
      </c>
      <c r="S5" t="s">
        <v>33</v>
      </c>
    </row>
    <row r="6" spans="1:22" ht="16">
      <c r="A6" t="s">
        <v>22</v>
      </c>
      <c r="B6" t="s">
        <v>53</v>
      </c>
      <c r="C6" t="s">
        <v>24</v>
      </c>
      <c r="D6" t="s">
        <v>54</v>
      </c>
      <c r="E6" t="s">
        <v>26</v>
      </c>
      <c r="F6" t="s">
        <v>55</v>
      </c>
      <c r="G6" t="str">
        <f>HYPERLINK("https://www.facebook.com/906513542136876")</f>
        <v>https://www.facebook.com/906513542136876</v>
      </c>
      <c r="H6" t="s">
        <v>28</v>
      </c>
      <c r="I6" t="s">
        <v>56</v>
      </c>
      <c r="K6" t="str">
        <f>HYPERLINK("https://www.facebook.com/100083347151435")</f>
        <v>https://www.facebook.com/100083347151435</v>
      </c>
      <c r="M6" t="s">
        <v>40</v>
      </c>
      <c r="N6" t="s">
        <v>31</v>
      </c>
      <c r="O6" t="s">
        <v>56</v>
      </c>
      <c r="P6" t="str">
        <f>HYPERLINK("https://www.facebook.com/100083347151435")</f>
        <v>https://www.facebook.com/100083347151435</v>
      </c>
      <c r="R6" t="s">
        <v>32</v>
      </c>
      <c r="S6" t="s">
        <v>57</v>
      </c>
      <c r="T6" t="s">
        <v>34</v>
      </c>
      <c r="U6" t="s">
        <v>58</v>
      </c>
      <c r="V6" t="s">
        <v>58</v>
      </c>
    </row>
    <row r="7" spans="1:22" ht="16">
      <c r="A7" t="s">
        <v>22</v>
      </c>
      <c r="B7" t="s">
        <v>59</v>
      </c>
      <c r="C7" t="s">
        <v>24</v>
      </c>
      <c r="D7" t="s">
        <v>60</v>
      </c>
      <c r="E7" t="s">
        <v>26</v>
      </c>
      <c r="F7" t="s">
        <v>27</v>
      </c>
      <c r="G7" t="str">
        <f>HYPERLINK("https://www.facebook.com/2094864517970308")</f>
        <v>https://www.facebook.com/2094864517970308</v>
      </c>
      <c r="H7" t="s">
        <v>28</v>
      </c>
      <c r="I7" t="s">
        <v>61</v>
      </c>
      <c r="K7" t="str">
        <f>HYPERLINK("https://www.facebook.com/100023403391838")</f>
        <v>https://www.facebook.com/100023403391838</v>
      </c>
      <c r="M7" t="s">
        <v>40</v>
      </c>
      <c r="N7" t="s">
        <v>31</v>
      </c>
      <c r="O7" t="s">
        <v>61</v>
      </c>
      <c r="P7" t="str">
        <f>HYPERLINK("https://www.facebook.com/100023403391838")</f>
        <v>https://www.facebook.com/100023403391838</v>
      </c>
      <c r="R7" t="s">
        <v>32</v>
      </c>
      <c r="S7" t="s">
        <v>33</v>
      </c>
      <c r="T7" t="s">
        <v>62</v>
      </c>
      <c r="U7" t="s">
        <v>63</v>
      </c>
      <c r="V7" t="s">
        <v>64</v>
      </c>
    </row>
    <row r="8" spans="1:20" ht="16">
      <c r="A8" t="s">
        <v>22</v>
      </c>
      <c r="B8" t="s">
        <v>65</v>
      </c>
      <c r="C8" t="s">
        <v>24</v>
      </c>
      <c r="D8" t="s">
        <v>49</v>
      </c>
      <c r="E8" t="s">
        <v>45</v>
      </c>
      <c r="F8" t="s">
        <v>46</v>
      </c>
      <c r="G8" t="str">
        <f>HYPERLINK("https://www.facebook.com/2008705243416207")</f>
        <v>https://www.facebook.com/2008705243416207</v>
      </c>
      <c r="H8" t="s">
        <v>28</v>
      </c>
      <c r="I8" t="s">
        <v>66</v>
      </c>
      <c r="K8" t="str">
        <f>HYPERLINK("https://www.facebook.com/61555713080974")</f>
        <v>https://www.facebook.com/61555713080974</v>
      </c>
      <c r="N8" t="s">
        <v>31</v>
      </c>
      <c r="O8" t="s">
        <v>67</v>
      </c>
      <c r="P8" t="str">
        <f>HYPERLINK("https://www.facebook.com/426139158339498")</f>
        <v>https://www.facebook.com/426139158339498</v>
      </c>
      <c r="Q8">
        <v>9394</v>
      </c>
      <c r="R8" t="s">
        <v>32</v>
      </c>
      <c r="S8" t="s">
        <v>33</v>
      </c>
      <c r="T8" t="s">
        <v>34</v>
      </c>
    </row>
    <row r="9" spans="1:22" ht="16">
      <c r="A9" t="s">
        <v>22</v>
      </c>
      <c r="B9" t="s">
        <v>68</v>
      </c>
      <c r="C9" t="s">
        <v>24</v>
      </c>
      <c r="D9" t="s">
        <v>69</v>
      </c>
      <c r="E9" t="s">
        <v>26</v>
      </c>
      <c r="F9" t="s">
        <v>27</v>
      </c>
      <c r="G9" t="str">
        <f>HYPERLINK("https://www.facebook.com/3082153138643613")</f>
        <v>https://www.facebook.com/3082153138643613</v>
      </c>
      <c r="H9" t="s">
        <v>28</v>
      </c>
      <c r="I9" t="s">
        <v>70</v>
      </c>
      <c r="K9" t="str">
        <f>HYPERLINK("https://www.facebook.com/100005468710463")</f>
        <v>https://www.facebook.com/100005468710463</v>
      </c>
      <c r="M9" t="s">
        <v>40</v>
      </c>
      <c r="N9" t="s">
        <v>31</v>
      </c>
      <c r="O9" t="s">
        <v>70</v>
      </c>
      <c r="P9" t="str">
        <f>HYPERLINK("https://www.facebook.com/100005468710463")</f>
        <v>https://www.facebook.com/100005468710463</v>
      </c>
      <c r="R9" t="s">
        <v>32</v>
      </c>
      <c r="S9" t="s">
        <v>33</v>
      </c>
      <c r="T9" t="s">
        <v>34</v>
      </c>
      <c r="U9" t="s">
        <v>58</v>
      </c>
      <c r="V9" t="s">
        <v>58</v>
      </c>
    </row>
    <row r="10" spans="1:22" ht="16">
      <c r="A10" t="s">
        <v>22</v>
      </c>
      <c r="B10" t="s">
        <v>71</v>
      </c>
      <c r="C10" t="s">
        <v>72</v>
      </c>
      <c r="D10" t="s">
        <v>73</v>
      </c>
      <c r="E10" t="s">
        <v>74</v>
      </c>
      <c r="F10" t="s">
        <v>3</v>
      </c>
      <c r="G10" t="str">
        <f>HYPERLINK("https://www.facebook.com/permalink.php?story_fbid=pfbid022EiDACdienKpjPECyX349BaVUSYZJn3ACWNGRCFbfhcrL4SL4Kmz7CmKJrKfz1J4l&amp;id=100009468959379&amp;comment_id=912946004651547")</f>
        <v>https://www.facebook.com/permalink.php?story_fbid=pfbid022EiDACdienKpjPECyX349BaVUSYZJn3ACWNGRCFbfhcrL4SL4Kmz7CmKJrKfz1J4l&amp;id=100009468959379&amp;comment_id=912946004651547</v>
      </c>
      <c r="H10" t="s">
        <v>28</v>
      </c>
      <c r="I10" t="s">
        <v>75</v>
      </c>
      <c r="K10" t="str">
        <f>HYPERLINK("https://www.facebook.com/100010469231716")</f>
        <v>https://www.facebook.com/100010469231716</v>
      </c>
      <c r="M10" t="s">
        <v>30</v>
      </c>
      <c r="N10" t="s">
        <v>31</v>
      </c>
      <c r="O10" t="s">
        <v>76</v>
      </c>
      <c r="P10" t="str">
        <f>HYPERLINK("https://www.facebook.com/100009468959379")</f>
        <v>https://www.facebook.com/100009468959379</v>
      </c>
      <c r="R10" t="s">
        <v>32</v>
      </c>
      <c r="S10" t="s">
        <v>33</v>
      </c>
      <c r="T10" t="s">
        <v>34</v>
      </c>
      <c r="U10" t="s">
        <v>77</v>
      </c>
      <c r="V10" t="s">
        <v>78</v>
      </c>
    </row>
    <row r="11" spans="1:22" ht="16">
      <c r="A11" t="s">
        <v>22</v>
      </c>
      <c r="B11" t="s">
        <v>79</v>
      </c>
      <c r="C11" t="s">
        <v>80</v>
      </c>
      <c r="D11" t="s">
        <v>81</v>
      </c>
      <c r="E11" t="s">
        <v>74</v>
      </c>
      <c r="F11" t="s">
        <v>3</v>
      </c>
      <c r="G11" t="str">
        <f>HYPERLINK("https://www.facebook.com/tetyanayarchak/posts/pfbid0B94KxsZRFdPvuWg5sC7K3HyQjEBRSRWnxS3uYTcPbeq1yH8pwZte9FvUrqWT2noFl?comment_id=4255825278006237")</f>
        <v>https://www.facebook.com/tetyanayarchak/posts/pfbid0B94KxsZRFdPvuWg5sC7K3HyQjEBRSRWnxS3uYTcPbeq1yH8pwZte9FvUrqWT2noFl?comment_id=4255825278006237</v>
      </c>
      <c r="H11" t="s">
        <v>28</v>
      </c>
      <c r="I11" t="s">
        <v>82</v>
      </c>
      <c r="J11" t="s">
        <v>83</v>
      </c>
      <c r="K11" t="str">
        <f>HYPERLINK("https://www.facebook.com/100023541742890")</f>
        <v>https://www.facebook.com/100023541742890</v>
      </c>
      <c r="M11" t="s">
        <v>40</v>
      </c>
      <c r="N11" t="s">
        <v>31</v>
      </c>
      <c r="O11" t="s">
        <v>84</v>
      </c>
      <c r="P11" t="str">
        <f>HYPERLINK("https://www.facebook.com/100025133615049")</f>
        <v>https://www.facebook.com/100025133615049</v>
      </c>
      <c r="R11" t="s">
        <v>32</v>
      </c>
      <c r="S11" t="s">
        <v>85</v>
      </c>
      <c r="T11" t="s">
        <v>86</v>
      </c>
      <c r="U11" t="s">
        <v>87</v>
      </c>
      <c r="V11" t="s">
        <v>88</v>
      </c>
    </row>
    <row r="12" spans="1:22" ht="16">
      <c r="A12" t="s">
        <v>22</v>
      </c>
      <c r="B12" t="s">
        <v>89</v>
      </c>
      <c r="C12" t="s">
        <v>72</v>
      </c>
      <c r="D12" t="s">
        <v>90</v>
      </c>
      <c r="E12" t="s">
        <v>74</v>
      </c>
      <c r="F12" t="s">
        <v>3</v>
      </c>
      <c r="G12" t="str">
        <f>HYPERLINK("https://www.facebook.com/permalink.php?story_fbid=pfbid022EiDACdienKpjPECyX349BaVUSYZJn3ACWNGRCFbfhcrL4SL4Kmz7CmKJrKfz1J4l&amp;id=100009468959379&amp;comment_id=1274390221233773")</f>
        <v>https://www.facebook.com/permalink.php?story_fbid=pfbid022EiDACdienKpjPECyX349BaVUSYZJn3ACWNGRCFbfhcrL4SL4Kmz7CmKJrKfz1J4l&amp;id=100009468959379&amp;comment_id=1274390221233773</v>
      </c>
      <c r="H12" t="s">
        <v>28</v>
      </c>
      <c r="I12" t="s">
        <v>91</v>
      </c>
      <c r="K12" t="str">
        <f>HYPERLINK("https://www.facebook.com/100090912802136")</f>
        <v>https://www.facebook.com/100090912802136</v>
      </c>
      <c r="M12" t="s">
        <v>30</v>
      </c>
      <c r="N12" t="s">
        <v>31</v>
      </c>
      <c r="O12" t="s">
        <v>76</v>
      </c>
      <c r="P12" t="str">
        <f>HYPERLINK("https://www.facebook.com/100009468959379")</f>
        <v>https://www.facebook.com/100009468959379</v>
      </c>
      <c r="R12" t="s">
        <v>32</v>
      </c>
      <c r="S12" t="s">
        <v>85</v>
      </c>
      <c r="T12" t="s">
        <v>92</v>
      </c>
      <c r="U12" t="s">
        <v>93</v>
      </c>
      <c r="V12" t="s">
        <v>94</v>
      </c>
    </row>
    <row r="13" spans="1:22" ht="16">
      <c r="A13" t="s">
        <v>22</v>
      </c>
      <c r="B13" t="s">
        <v>95</v>
      </c>
      <c r="C13" t="s">
        <v>24</v>
      </c>
      <c r="D13" t="s">
        <v>96</v>
      </c>
      <c r="E13" t="s">
        <v>26</v>
      </c>
      <c r="F13" t="s">
        <v>27</v>
      </c>
      <c r="G13" t="str">
        <f>HYPERLINK("https://www.facebook.com/3181014205414513")</f>
        <v>https://www.facebook.com/3181014205414513</v>
      </c>
      <c r="H13" t="s">
        <v>28</v>
      </c>
      <c r="I13" t="s">
        <v>97</v>
      </c>
      <c r="J13" t="s">
        <v>98</v>
      </c>
      <c r="K13" t="str">
        <f>HYPERLINK("https://www.facebook.com/100005178942618")</f>
        <v>https://www.facebook.com/100005178942618</v>
      </c>
      <c r="M13" t="s">
        <v>30</v>
      </c>
      <c r="N13" t="s">
        <v>31</v>
      </c>
      <c r="O13" t="s">
        <v>97</v>
      </c>
      <c r="P13" t="str">
        <f>HYPERLINK("https://www.facebook.com/100005178942618")</f>
        <v>https://www.facebook.com/100005178942618</v>
      </c>
      <c r="R13" t="s">
        <v>32</v>
      </c>
      <c r="S13" t="s">
        <v>33</v>
      </c>
      <c r="T13" t="s">
        <v>34</v>
      </c>
      <c r="U13" t="s">
        <v>41</v>
      </c>
      <c r="V13" t="s">
        <v>42</v>
      </c>
    </row>
    <row r="14" spans="1:22" ht="16">
      <c r="A14" t="s">
        <v>22</v>
      </c>
      <c r="B14" t="s">
        <v>99</v>
      </c>
      <c r="C14" t="s">
        <v>24</v>
      </c>
      <c r="D14" t="s">
        <v>100</v>
      </c>
      <c r="E14" t="s">
        <v>101</v>
      </c>
      <c r="F14" t="s">
        <v>102</v>
      </c>
      <c r="G14" t="str">
        <f>HYPERLINK("https://www.facebook.com/26346080935027803")</f>
        <v>https://www.facebook.com/26346080935027803</v>
      </c>
      <c r="H14" t="s">
        <v>28</v>
      </c>
      <c r="I14" t="s">
        <v>103</v>
      </c>
      <c r="J14" t="s">
        <v>104</v>
      </c>
      <c r="K14" t="str">
        <f>HYPERLINK("https://www.facebook.com/100001577643202")</f>
        <v>https://www.facebook.com/100001577643202</v>
      </c>
      <c r="M14" t="s">
        <v>30</v>
      </c>
      <c r="N14" t="s">
        <v>31</v>
      </c>
      <c r="O14" t="s">
        <v>103</v>
      </c>
      <c r="P14" t="str">
        <f>HYPERLINK("https://www.facebook.com/100001577643202")</f>
        <v>https://www.facebook.com/100001577643202</v>
      </c>
      <c r="R14" t="s">
        <v>32</v>
      </c>
      <c r="S14" t="s">
        <v>33</v>
      </c>
      <c r="T14" t="s">
        <v>34</v>
      </c>
      <c r="U14" t="s">
        <v>58</v>
      </c>
      <c r="V14" t="s">
        <v>58</v>
      </c>
    </row>
    <row r="15" spans="1:22" ht="16">
      <c r="A15" t="s">
        <v>22</v>
      </c>
      <c r="B15" t="s">
        <v>105</v>
      </c>
      <c r="C15" t="s">
        <v>24</v>
      </c>
      <c r="D15" t="s">
        <v>106</v>
      </c>
      <c r="E15" t="s">
        <v>26</v>
      </c>
      <c r="F15" t="s">
        <v>27</v>
      </c>
      <c r="G15" t="str">
        <f>HYPERLINK("https://www.facebook.com/1711220973174331")</f>
        <v>https://www.facebook.com/1711220973174331</v>
      </c>
      <c r="H15" t="s">
        <v>28</v>
      </c>
      <c r="I15" t="s">
        <v>107</v>
      </c>
      <c r="K15" t="str">
        <f>HYPERLINK("https://www.facebook.com/100028593340520")</f>
        <v>https://www.facebook.com/100028593340520</v>
      </c>
      <c r="M15" t="s">
        <v>40</v>
      </c>
      <c r="N15" t="s">
        <v>31</v>
      </c>
      <c r="O15" t="s">
        <v>107</v>
      </c>
      <c r="P15" t="str">
        <f>HYPERLINK("https://www.facebook.com/100028593340520")</f>
        <v>https://www.facebook.com/100028593340520</v>
      </c>
      <c r="R15" t="s">
        <v>32</v>
      </c>
      <c r="S15" t="s">
        <v>33</v>
      </c>
      <c r="T15" t="s">
        <v>108</v>
      </c>
      <c r="U15" t="s">
        <v>109</v>
      </c>
      <c r="V15" t="s">
        <v>110</v>
      </c>
    </row>
    <row r="16" spans="1:19" ht="16">
      <c r="A16" t="s">
        <v>22</v>
      </c>
      <c r="B16" t="s">
        <v>111</v>
      </c>
      <c r="C16" t="s">
        <v>24</v>
      </c>
      <c r="D16" t="s">
        <v>112</v>
      </c>
      <c r="E16" t="s">
        <v>26</v>
      </c>
      <c r="F16" t="s">
        <v>27</v>
      </c>
      <c r="G16" t="str">
        <f>HYPERLINK("https://www.facebook.com/1279137044125004")</f>
        <v>https://www.facebook.com/1279137044125004</v>
      </c>
      <c r="H16" t="s">
        <v>28</v>
      </c>
      <c r="I16" t="s">
        <v>113</v>
      </c>
      <c r="J16" t="s">
        <v>114</v>
      </c>
      <c r="K16" t="str">
        <f>HYPERLINK("https://www.facebook.com/100060861611181")</f>
        <v>https://www.facebook.com/100060861611181</v>
      </c>
      <c r="M16" t="s">
        <v>30</v>
      </c>
      <c r="N16" t="s">
        <v>31</v>
      </c>
      <c r="O16" t="s">
        <v>113</v>
      </c>
      <c r="P16" t="str">
        <f>HYPERLINK("https://www.facebook.com/100060861611181")</f>
        <v>https://www.facebook.com/100060861611181</v>
      </c>
      <c r="R16" t="s">
        <v>32</v>
      </c>
      <c r="S16" t="s">
        <v>33</v>
      </c>
    </row>
    <row r="17" spans="1:22" ht="16">
      <c r="A17" t="s">
        <v>22</v>
      </c>
      <c r="B17" t="s">
        <v>115</v>
      </c>
      <c r="C17" t="s">
        <v>24</v>
      </c>
      <c r="D17" t="s">
        <v>49</v>
      </c>
      <c r="E17" t="s">
        <v>45</v>
      </c>
      <c r="F17" t="s">
        <v>46</v>
      </c>
      <c r="G17" t="str">
        <f>HYPERLINK("https://www.facebook.com/2694031274329991")</f>
        <v>https://www.facebook.com/2694031274329991</v>
      </c>
      <c r="H17" t="s">
        <v>28</v>
      </c>
      <c r="I17" t="s">
        <v>116</v>
      </c>
      <c r="K17" t="str">
        <f>HYPERLINK("https://www.facebook.com/100011694334602")</f>
        <v>https://www.facebook.com/100011694334602</v>
      </c>
      <c r="M17" t="s">
        <v>30</v>
      </c>
      <c r="N17" t="s">
        <v>31</v>
      </c>
      <c r="O17" t="s">
        <v>116</v>
      </c>
      <c r="P17" t="str">
        <f>HYPERLINK("https://www.facebook.com/100011694334602")</f>
        <v>https://www.facebook.com/100011694334602</v>
      </c>
      <c r="R17" t="s">
        <v>32</v>
      </c>
      <c r="S17" t="s">
        <v>33</v>
      </c>
      <c r="T17" t="s">
        <v>117</v>
      </c>
      <c r="U17" t="s">
        <v>118</v>
      </c>
      <c r="V17" t="s">
        <v>119</v>
      </c>
    </row>
    <row r="18" spans="1:22" ht="16">
      <c r="A18" t="s">
        <v>120</v>
      </c>
      <c r="B18" t="s">
        <v>121</v>
      </c>
      <c r="C18" t="s">
        <v>72</v>
      </c>
      <c r="D18" t="s">
        <v>122</v>
      </c>
      <c r="E18" t="s">
        <v>74</v>
      </c>
      <c r="F18" t="s">
        <v>3</v>
      </c>
      <c r="G18" t="str">
        <f>HYPERLINK("https://www.facebook.com/permalink.php?story_fbid=pfbid022EiDACdienKpjPECyX349BaVUSYZJn3ACWNGRCFbfhcrL4SL4Kmz7CmKJrKfz1J4l&amp;id=100009468959379&amp;comment_id=918145054151292")</f>
        <v>https://www.facebook.com/permalink.php?story_fbid=pfbid022EiDACdienKpjPECyX349BaVUSYZJn3ACWNGRCFbfhcrL4SL4Kmz7CmKJrKfz1J4l&amp;id=100009468959379&amp;comment_id=918145054151292</v>
      </c>
      <c r="H18" t="s">
        <v>28</v>
      </c>
      <c r="I18" t="s">
        <v>123</v>
      </c>
      <c r="K18" t="str">
        <f>HYPERLINK("https://www.facebook.com/100000790144263")</f>
        <v>https://www.facebook.com/100000790144263</v>
      </c>
      <c r="M18" t="s">
        <v>30</v>
      </c>
      <c r="N18" t="s">
        <v>31</v>
      </c>
      <c r="O18" t="s">
        <v>76</v>
      </c>
      <c r="P18" t="str">
        <f>HYPERLINK("https://www.facebook.com/100009468959379")</f>
        <v>https://www.facebook.com/100009468959379</v>
      </c>
      <c r="R18" t="s">
        <v>32</v>
      </c>
      <c r="S18" t="s">
        <v>33</v>
      </c>
      <c r="T18" t="s">
        <v>34</v>
      </c>
      <c r="U18" t="s">
        <v>58</v>
      </c>
      <c r="V18" t="s">
        <v>58</v>
      </c>
    </row>
    <row r="19" spans="1:22" ht="16">
      <c r="A19" t="s">
        <v>120</v>
      </c>
      <c r="B19" t="s">
        <v>124</v>
      </c>
      <c r="C19" t="s">
        <v>24</v>
      </c>
      <c r="D19" t="s">
        <v>125</v>
      </c>
      <c r="E19" t="s">
        <v>26</v>
      </c>
      <c r="F19" t="s">
        <v>27</v>
      </c>
      <c r="G19" t="str">
        <f>HYPERLINK("https://www.facebook.com/3202992129874432")</f>
        <v>https://www.facebook.com/3202992129874432</v>
      </c>
      <c r="H19" t="s">
        <v>28</v>
      </c>
      <c r="I19" t="s">
        <v>126</v>
      </c>
      <c r="K19" t="str">
        <f>HYPERLINK("https://www.facebook.com/100004910289139")</f>
        <v>https://www.facebook.com/100004910289139</v>
      </c>
      <c r="M19" t="s">
        <v>40</v>
      </c>
      <c r="N19" t="s">
        <v>31</v>
      </c>
      <c r="O19" t="s">
        <v>126</v>
      </c>
      <c r="P19" t="str">
        <f>HYPERLINK("https://www.facebook.com/100004910289139")</f>
        <v>https://www.facebook.com/100004910289139</v>
      </c>
      <c r="R19" t="s">
        <v>32</v>
      </c>
      <c r="S19" t="s">
        <v>33</v>
      </c>
      <c r="T19" t="s">
        <v>86</v>
      </c>
      <c r="U19" t="s">
        <v>127</v>
      </c>
      <c r="V19" t="s">
        <v>128</v>
      </c>
    </row>
    <row r="20" spans="1:22" ht="16">
      <c r="A20" t="s">
        <v>120</v>
      </c>
      <c r="B20" t="s">
        <v>129</v>
      </c>
      <c r="C20" t="s">
        <v>24</v>
      </c>
      <c r="D20" t="s">
        <v>130</v>
      </c>
      <c r="E20" t="s">
        <v>45</v>
      </c>
      <c r="F20" t="s">
        <v>102</v>
      </c>
      <c r="G20" t="str">
        <f>HYPERLINK("https://www.facebook.com/4286187865026866")</f>
        <v>https://www.facebook.com/4286187865026866</v>
      </c>
      <c r="H20" t="s">
        <v>28</v>
      </c>
      <c r="I20" t="s">
        <v>131</v>
      </c>
      <c r="K20" t="str">
        <f>HYPERLINK("https://www.facebook.com/100009070849794")</f>
        <v>https://www.facebook.com/100009070849794</v>
      </c>
      <c r="M20" t="s">
        <v>40</v>
      </c>
      <c r="N20" t="s">
        <v>31</v>
      </c>
      <c r="O20" t="s">
        <v>131</v>
      </c>
      <c r="P20" t="str">
        <f>HYPERLINK("https://www.facebook.com/100009070849794")</f>
        <v>https://www.facebook.com/100009070849794</v>
      </c>
      <c r="R20" t="s">
        <v>32</v>
      </c>
      <c r="S20" t="s">
        <v>33</v>
      </c>
      <c r="T20" t="s">
        <v>34</v>
      </c>
      <c r="U20" t="s">
        <v>58</v>
      </c>
      <c r="V20" t="s">
        <v>58</v>
      </c>
    </row>
    <row r="21" spans="1:22" ht="16">
      <c r="A21" t="s">
        <v>120</v>
      </c>
      <c r="B21" t="s">
        <v>129</v>
      </c>
      <c r="C21" t="s">
        <v>24</v>
      </c>
      <c r="D21" t="s">
        <v>130</v>
      </c>
      <c r="E21" t="s">
        <v>45</v>
      </c>
      <c r="F21" t="s">
        <v>102</v>
      </c>
      <c r="G21" t="str">
        <f>HYPERLINK("https://www.facebook.com/26224483980504064")</f>
        <v>https://www.facebook.com/26224483980504064</v>
      </c>
      <c r="H21" t="s">
        <v>28</v>
      </c>
      <c r="I21" t="s">
        <v>132</v>
      </c>
      <c r="K21" t="str">
        <f>HYPERLINK("https://www.facebook.com/100001074597612")</f>
        <v>https://www.facebook.com/100001074597612</v>
      </c>
      <c r="M21" t="s">
        <v>40</v>
      </c>
      <c r="N21" t="s">
        <v>31</v>
      </c>
      <c r="O21" t="s">
        <v>132</v>
      </c>
      <c r="P21" t="str">
        <f>HYPERLINK("https://www.facebook.com/100001074597612")</f>
        <v>https://www.facebook.com/100001074597612</v>
      </c>
      <c r="R21" t="s">
        <v>32</v>
      </c>
      <c r="S21" t="s">
        <v>33</v>
      </c>
      <c r="T21" t="s">
        <v>34</v>
      </c>
      <c r="U21" t="s">
        <v>58</v>
      </c>
      <c r="V21" t="s">
        <v>58</v>
      </c>
    </row>
    <row r="22" spans="1:22" ht="16">
      <c r="A22" t="s">
        <v>120</v>
      </c>
      <c r="B22" t="s">
        <v>133</v>
      </c>
      <c r="C22" t="s">
        <v>72</v>
      </c>
      <c r="D22" t="s">
        <v>134</v>
      </c>
      <c r="E22" t="s">
        <v>74</v>
      </c>
      <c r="F22" t="s">
        <v>3</v>
      </c>
      <c r="G22" t="str">
        <f>HYPERLINK("https://www.facebook.com/permalink.php?story_fbid=pfbid022EiDACdienKpjPECyX349BaVUSYZJn3ACWNGRCFbfhcrL4SL4Kmz7CmKJrKfz1J4l&amp;id=100009468959379&amp;comment_id=2933795043494475")</f>
        <v>https://www.facebook.com/permalink.php?story_fbid=pfbid022EiDACdienKpjPECyX349BaVUSYZJn3ACWNGRCFbfhcrL4SL4Kmz7CmKJrKfz1J4l&amp;id=100009468959379&amp;comment_id=2933795043494475</v>
      </c>
      <c r="H22" t="s">
        <v>28</v>
      </c>
      <c r="I22" t="s">
        <v>135</v>
      </c>
      <c r="J22" t="s">
        <v>136</v>
      </c>
      <c r="K22" t="str">
        <f>HYPERLINK("https://www.facebook.com/100008074394227")</f>
        <v>https://www.facebook.com/100008074394227</v>
      </c>
      <c r="M22" t="s">
        <v>30</v>
      </c>
      <c r="N22" t="s">
        <v>31</v>
      </c>
      <c r="O22" t="s">
        <v>76</v>
      </c>
      <c r="P22" t="str">
        <f>HYPERLINK("https://www.facebook.com/100009468959379")</f>
        <v>https://www.facebook.com/100009468959379</v>
      </c>
      <c r="R22" t="s">
        <v>32</v>
      </c>
      <c r="S22" t="s">
        <v>85</v>
      </c>
      <c r="T22" t="s">
        <v>34</v>
      </c>
      <c r="U22" t="s">
        <v>41</v>
      </c>
      <c r="V22" t="s">
        <v>42</v>
      </c>
    </row>
    <row r="23" spans="1:22" ht="16">
      <c r="A23" t="s">
        <v>120</v>
      </c>
      <c r="B23" t="s">
        <v>137</v>
      </c>
      <c r="C23" t="s">
        <v>72</v>
      </c>
      <c r="D23" t="s">
        <v>138</v>
      </c>
      <c r="E23" t="s">
        <v>74</v>
      </c>
      <c r="F23" t="s">
        <v>3</v>
      </c>
      <c r="G23" t="str">
        <f>HYPERLINK("https://www.facebook.com/permalink.php?story_fbid=pfbid022EiDACdienKpjPECyX349BaVUSYZJn3ACWNGRCFbfhcrL4SL4Kmz7CmKJrKfz1J4l&amp;id=100009468959379&amp;comment_id=855961577497756")</f>
        <v>https://www.facebook.com/permalink.php?story_fbid=pfbid022EiDACdienKpjPECyX349BaVUSYZJn3ACWNGRCFbfhcrL4SL4Kmz7CmKJrKfz1J4l&amp;id=100009468959379&amp;comment_id=855961577497756</v>
      </c>
      <c r="H23" t="s">
        <v>28</v>
      </c>
      <c r="I23" t="s">
        <v>139</v>
      </c>
      <c r="K23" t="str">
        <f>HYPERLINK("https://www.facebook.com/100006040508434")</f>
        <v>https://www.facebook.com/100006040508434</v>
      </c>
      <c r="L23">
        <v>195</v>
      </c>
      <c r="M23" t="s">
        <v>30</v>
      </c>
      <c r="N23" t="s">
        <v>31</v>
      </c>
      <c r="O23" t="s">
        <v>76</v>
      </c>
      <c r="P23" t="str">
        <f>HYPERLINK("https://www.facebook.com/100009468959379")</f>
        <v>https://www.facebook.com/100009468959379</v>
      </c>
      <c r="R23" t="s">
        <v>32</v>
      </c>
      <c r="S23" t="s">
        <v>33</v>
      </c>
      <c r="T23" t="s">
        <v>34</v>
      </c>
      <c r="U23" t="s">
        <v>77</v>
      </c>
      <c r="V23" t="s">
        <v>140</v>
      </c>
    </row>
    <row r="24" spans="1:19" ht="16">
      <c r="A24" t="s">
        <v>120</v>
      </c>
      <c r="B24" t="s">
        <v>141</v>
      </c>
      <c r="C24" t="s">
        <v>24</v>
      </c>
      <c r="D24" t="s">
        <v>142</v>
      </c>
      <c r="E24" t="s">
        <v>45</v>
      </c>
      <c r="F24" t="s">
        <v>46</v>
      </c>
      <c r="G24" t="str">
        <f>HYPERLINK("https://www.facebook.com/4196380100614842")</f>
        <v>https://www.facebook.com/4196380100614842</v>
      </c>
      <c r="H24" t="s">
        <v>28</v>
      </c>
      <c r="I24" t="s">
        <v>143</v>
      </c>
      <c r="K24" t="str">
        <f>HYPERLINK("https://www.facebook.com/100007286794560")</f>
        <v>https://www.facebook.com/100007286794560</v>
      </c>
      <c r="M24" t="s">
        <v>30</v>
      </c>
      <c r="N24" t="s">
        <v>31</v>
      </c>
      <c r="O24" t="s">
        <v>143</v>
      </c>
      <c r="P24" t="str">
        <f>HYPERLINK("https://www.facebook.com/100007286794560")</f>
        <v>https://www.facebook.com/100007286794560</v>
      </c>
      <c r="R24" t="s">
        <v>32</v>
      </c>
      <c r="S24" t="s">
        <v>33</v>
      </c>
    </row>
    <row r="25" spans="1:19" ht="16">
      <c r="A25" t="s">
        <v>120</v>
      </c>
      <c r="B25" t="s">
        <v>144</v>
      </c>
      <c r="C25" t="s">
        <v>72</v>
      </c>
      <c r="D25" t="s">
        <v>145</v>
      </c>
      <c r="E25" t="s">
        <v>74</v>
      </c>
      <c r="F25" t="s">
        <v>3</v>
      </c>
      <c r="G25" t="str">
        <f>HYPERLINK("https://www.facebook.com/permalink.php?story_fbid=pfbid022EiDACdienKpjPECyX349BaVUSYZJn3ACWNGRCFbfhcrL4SL4Kmz7CmKJrKfz1J4l&amp;id=100009468959379&amp;comment_id=2096065197620172")</f>
        <v>https://www.facebook.com/permalink.php?story_fbid=pfbid022EiDACdienKpjPECyX349BaVUSYZJn3ACWNGRCFbfhcrL4SL4Kmz7CmKJrKfz1J4l&amp;id=100009468959379&amp;comment_id=2096065197620172</v>
      </c>
      <c r="H25" t="s">
        <v>28</v>
      </c>
      <c r="I25" t="s">
        <v>146</v>
      </c>
      <c r="K25" t="str">
        <f>HYPERLINK("https://www.facebook.com/100087945076495")</f>
        <v>https://www.facebook.com/100087945076495</v>
      </c>
      <c r="M25" t="s">
        <v>40</v>
      </c>
      <c r="N25" t="s">
        <v>31</v>
      </c>
      <c r="O25" t="s">
        <v>76</v>
      </c>
      <c r="P25" t="str">
        <f>HYPERLINK("https://www.facebook.com/100009468959379")</f>
        <v>https://www.facebook.com/100009468959379</v>
      </c>
      <c r="R25" t="s">
        <v>32</v>
      </c>
      <c r="S25" t="s">
        <v>33</v>
      </c>
    </row>
    <row r="26" spans="1:19" ht="16">
      <c r="A26" t="s">
        <v>120</v>
      </c>
      <c r="B26" t="s">
        <v>147</v>
      </c>
      <c r="C26" t="s">
        <v>24</v>
      </c>
      <c r="D26" t="s">
        <v>148</v>
      </c>
      <c r="E26" t="s">
        <v>45</v>
      </c>
      <c r="F26" t="s">
        <v>102</v>
      </c>
      <c r="G26" t="str">
        <f>HYPERLINK("https://www.facebook.com/3013229802194315")</f>
        <v>https://www.facebook.com/3013229802194315</v>
      </c>
      <c r="H26" t="s">
        <v>28</v>
      </c>
      <c r="I26" t="s">
        <v>149</v>
      </c>
      <c r="K26" t="str">
        <f>HYPERLINK("https://www.facebook.com/100005219743065")</f>
        <v>https://www.facebook.com/100005219743065</v>
      </c>
      <c r="M26" t="s">
        <v>30</v>
      </c>
      <c r="N26" t="s">
        <v>31</v>
      </c>
      <c r="O26" t="s">
        <v>149</v>
      </c>
      <c r="P26" t="str">
        <f>HYPERLINK("https://www.facebook.com/100005219743065")</f>
        <v>https://www.facebook.com/100005219743065</v>
      </c>
      <c r="R26" t="s">
        <v>32</v>
      </c>
      <c r="S26" t="s">
        <v>33</v>
      </c>
    </row>
    <row r="27" spans="1:19" ht="16">
      <c r="A27" t="s">
        <v>120</v>
      </c>
      <c r="B27" t="s">
        <v>150</v>
      </c>
      <c r="C27" t="s">
        <v>24</v>
      </c>
      <c r="D27" t="s">
        <v>151</v>
      </c>
      <c r="E27" t="s">
        <v>45</v>
      </c>
      <c r="F27" t="s">
        <v>46</v>
      </c>
      <c r="G27" t="str">
        <f>HYPERLINK("https://www.facebook.com/1932255147386493")</f>
        <v>https://www.facebook.com/1932255147386493</v>
      </c>
      <c r="H27" t="s">
        <v>28</v>
      </c>
      <c r="I27" t="s">
        <v>152</v>
      </c>
      <c r="K27" t="str">
        <f>HYPERLINK("https://www.facebook.com/100018060784247")</f>
        <v>https://www.facebook.com/100018060784247</v>
      </c>
      <c r="M27" t="s">
        <v>30</v>
      </c>
      <c r="N27" t="s">
        <v>31</v>
      </c>
      <c r="O27" t="s">
        <v>152</v>
      </c>
      <c r="P27" t="str">
        <f>HYPERLINK("https://www.facebook.com/100018060784247")</f>
        <v>https://www.facebook.com/100018060784247</v>
      </c>
      <c r="R27" t="s">
        <v>32</v>
      </c>
      <c r="S27" t="s">
        <v>33</v>
      </c>
    </row>
    <row r="28" spans="1:19" ht="16">
      <c r="A28" t="s">
        <v>120</v>
      </c>
      <c r="B28" t="s">
        <v>153</v>
      </c>
      <c r="C28" t="s">
        <v>24</v>
      </c>
      <c r="D28" t="s">
        <v>130</v>
      </c>
      <c r="E28" t="s">
        <v>45</v>
      </c>
      <c r="F28" t="s">
        <v>102</v>
      </c>
      <c r="G28" t="str">
        <f>HYPERLINK("https://www.facebook.com/1777512923209349")</f>
        <v>https://www.facebook.com/1777512923209349</v>
      </c>
      <c r="H28" t="s">
        <v>28</v>
      </c>
      <c r="I28" t="s">
        <v>154</v>
      </c>
      <c r="K28" t="str">
        <f>HYPERLINK("https://www.facebook.com/100028519748539")</f>
        <v>https://www.facebook.com/100028519748539</v>
      </c>
      <c r="M28" t="s">
        <v>40</v>
      </c>
      <c r="N28" t="s">
        <v>31</v>
      </c>
      <c r="O28" t="s">
        <v>154</v>
      </c>
      <c r="P28" t="str">
        <f>HYPERLINK("https://www.facebook.com/100028519748539")</f>
        <v>https://www.facebook.com/100028519748539</v>
      </c>
      <c r="R28" t="s">
        <v>32</v>
      </c>
      <c r="S28" t="s">
        <v>33</v>
      </c>
    </row>
    <row r="29" spans="1:22" ht="16">
      <c r="A29" t="s">
        <v>120</v>
      </c>
      <c r="B29" t="s">
        <v>155</v>
      </c>
      <c r="C29" t="s">
        <v>72</v>
      </c>
      <c r="D29" t="s">
        <v>156</v>
      </c>
      <c r="E29" t="s">
        <v>74</v>
      </c>
      <c r="F29" t="s">
        <v>3</v>
      </c>
      <c r="G29" t="str">
        <f>HYPERLINK("https://www.facebook.com/permalink.php?story_fbid=pfbid022EiDACdienKpjPECyX349BaVUSYZJn3ACWNGRCFbfhcrL4SL4Kmz7CmKJrKfz1J4l&amp;id=100009468959379&amp;comment_id=1404262114271370&amp;reply_comment_id=1406893747257649")</f>
        <v>https://www.facebook.com/permalink.php?story_fbid=pfbid022EiDACdienKpjPECyX349BaVUSYZJn3ACWNGRCFbfhcrL4SL4Kmz7CmKJrKfz1J4l&amp;id=100009468959379&amp;comment_id=1404262114271370&amp;reply_comment_id=1406893747257649</v>
      </c>
      <c r="H29" t="s">
        <v>28</v>
      </c>
      <c r="I29" t="s">
        <v>157</v>
      </c>
      <c r="K29" t="str">
        <f>HYPERLINK("https://www.facebook.com/100015103336934")</f>
        <v>https://www.facebook.com/100015103336934</v>
      </c>
      <c r="M29" t="s">
        <v>30</v>
      </c>
      <c r="N29" t="s">
        <v>31</v>
      </c>
      <c r="O29" t="s">
        <v>76</v>
      </c>
      <c r="P29" t="str">
        <f>HYPERLINK("https://www.facebook.com/100009468959379")</f>
        <v>https://www.facebook.com/100009468959379</v>
      </c>
      <c r="R29" t="s">
        <v>32</v>
      </c>
      <c r="S29" t="s">
        <v>85</v>
      </c>
      <c r="T29" t="s">
        <v>34</v>
      </c>
      <c r="U29" t="s">
        <v>158</v>
      </c>
      <c r="V29" t="s">
        <v>159</v>
      </c>
    </row>
    <row r="30" spans="1:19" ht="16">
      <c r="A30" t="s">
        <v>120</v>
      </c>
      <c r="B30" t="s">
        <v>160</v>
      </c>
      <c r="C30" t="s">
        <v>72</v>
      </c>
      <c r="D30" t="s">
        <v>161</v>
      </c>
      <c r="E30" t="s">
        <v>74</v>
      </c>
      <c r="F30" t="s">
        <v>3</v>
      </c>
      <c r="G30" t="str">
        <f>HYPERLINK("https://www.facebook.com/permalink.php?story_fbid=pfbid022EiDACdienKpjPECyX349BaVUSYZJn3ACWNGRCFbfhcrL4SL4Kmz7CmKJrKfz1J4l&amp;id=100009468959379&amp;comment_id=1404262114271370&amp;reply_comment_id=1627004638307722")</f>
        <v>https://www.facebook.com/permalink.php?story_fbid=pfbid022EiDACdienKpjPECyX349BaVUSYZJn3ACWNGRCFbfhcrL4SL4Kmz7CmKJrKfz1J4l&amp;id=100009468959379&amp;comment_id=1404262114271370&amp;reply_comment_id=1627004638307722</v>
      </c>
      <c r="H30" t="s">
        <v>28</v>
      </c>
      <c r="I30" t="s">
        <v>76</v>
      </c>
      <c r="K30" t="str">
        <f>HYPERLINK("https://www.facebook.com/100009468959379")</f>
        <v>https://www.facebook.com/100009468959379</v>
      </c>
      <c r="M30" t="s">
        <v>30</v>
      </c>
      <c r="N30" t="s">
        <v>31</v>
      </c>
      <c r="O30" t="s">
        <v>76</v>
      </c>
      <c r="P30" t="str">
        <f>HYPERLINK("https://www.facebook.com/100009468959379")</f>
        <v>https://www.facebook.com/100009468959379</v>
      </c>
      <c r="R30" t="s">
        <v>32</v>
      </c>
      <c r="S30" t="s">
        <v>85</v>
      </c>
    </row>
    <row r="31" spans="1:22" ht="16">
      <c r="A31" t="s">
        <v>120</v>
      </c>
      <c r="B31" t="s">
        <v>162</v>
      </c>
      <c r="C31" t="s">
        <v>72</v>
      </c>
      <c r="D31" t="s">
        <v>163</v>
      </c>
      <c r="E31" t="s">
        <v>74</v>
      </c>
      <c r="F31" t="s">
        <v>3</v>
      </c>
      <c r="G31" t="str">
        <f>HYPERLINK("https://www.facebook.com/permalink.php?story_fbid=pfbid022EiDACdienKpjPECyX349BaVUSYZJn3ACWNGRCFbfhcrL4SL4Kmz7CmKJrKfz1J4l&amp;id=100009468959379&amp;comment_id=1404262114271370")</f>
        <v>https://www.facebook.com/permalink.php?story_fbid=pfbid022EiDACdienKpjPECyX349BaVUSYZJn3ACWNGRCFbfhcrL4SL4Kmz7CmKJrKfz1J4l&amp;id=100009468959379&amp;comment_id=1404262114271370</v>
      </c>
      <c r="H31" t="s">
        <v>28</v>
      </c>
      <c r="I31" t="s">
        <v>157</v>
      </c>
      <c r="K31" t="str">
        <f>HYPERLINK("https://www.facebook.com/100015103336934")</f>
        <v>https://www.facebook.com/100015103336934</v>
      </c>
      <c r="M31" t="s">
        <v>30</v>
      </c>
      <c r="N31" t="s">
        <v>31</v>
      </c>
      <c r="O31" t="s">
        <v>76</v>
      </c>
      <c r="P31" t="str">
        <f>HYPERLINK("https://www.facebook.com/100009468959379")</f>
        <v>https://www.facebook.com/100009468959379</v>
      </c>
      <c r="R31" t="s">
        <v>32</v>
      </c>
      <c r="S31" t="s">
        <v>85</v>
      </c>
      <c r="T31" t="s">
        <v>34</v>
      </c>
      <c r="U31" t="s">
        <v>158</v>
      </c>
      <c r="V31" t="s">
        <v>159</v>
      </c>
    </row>
    <row r="32" spans="1:22" ht="16">
      <c r="A32" t="s">
        <v>120</v>
      </c>
      <c r="B32" t="s">
        <v>164</v>
      </c>
      <c r="C32" t="s">
        <v>24</v>
      </c>
      <c r="D32" t="s">
        <v>165</v>
      </c>
      <c r="E32" t="s">
        <v>45</v>
      </c>
      <c r="F32" t="s">
        <v>46</v>
      </c>
      <c r="G32" t="str">
        <f>HYPERLINK("https://www.facebook.com/10227828632455945")</f>
        <v>https://www.facebook.com/10227828632455945</v>
      </c>
      <c r="H32" t="s">
        <v>28</v>
      </c>
      <c r="I32" t="s">
        <v>166</v>
      </c>
      <c r="K32" t="str">
        <f>HYPERLINK("https://www.facebook.com/1674006100")</f>
        <v>https://www.facebook.com/1674006100</v>
      </c>
      <c r="M32" t="s">
        <v>40</v>
      </c>
      <c r="N32" t="s">
        <v>31</v>
      </c>
      <c r="O32" t="s">
        <v>166</v>
      </c>
      <c r="P32" t="str">
        <f>HYPERLINK("https://www.facebook.com/1674006100")</f>
        <v>https://www.facebook.com/1674006100</v>
      </c>
      <c r="R32" t="s">
        <v>32</v>
      </c>
      <c r="S32" t="s">
        <v>33</v>
      </c>
      <c r="T32" t="s">
        <v>34</v>
      </c>
      <c r="U32" t="s">
        <v>167</v>
      </c>
      <c r="V32" t="s">
        <v>168</v>
      </c>
    </row>
    <row r="33" spans="1:19" ht="16">
      <c r="A33" t="s">
        <v>120</v>
      </c>
      <c r="B33" t="s">
        <v>169</v>
      </c>
      <c r="C33" t="s">
        <v>24</v>
      </c>
      <c r="D33" t="s">
        <v>130</v>
      </c>
      <c r="E33" t="s">
        <v>45</v>
      </c>
      <c r="F33" t="s">
        <v>102</v>
      </c>
      <c r="G33" t="str">
        <f>HYPERLINK("https://www.facebook.com/2132336170853688")</f>
        <v>https://www.facebook.com/2132336170853688</v>
      </c>
      <c r="H33" t="s">
        <v>28</v>
      </c>
      <c r="I33" t="s">
        <v>170</v>
      </c>
      <c r="K33" t="str">
        <f>HYPERLINK("https://www.facebook.com/100022319767748")</f>
        <v>https://www.facebook.com/100022319767748</v>
      </c>
      <c r="L33">
        <v>158</v>
      </c>
      <c r="M33" t="s">
        <v>40</v>
      </c>
      <c r="N33" t="s">
        <v>31</v>
      </c>
      <c r="O33" t="s">
        <v>170</v>
      </c>
      <c r="P33" t="str">
        <f>HYPERLINK("https://www.facebook.com/100022319767748")</f>
        <v>https://www.facebook.com/100022319767748</v>
      </c>
      <c r="Q33">
        <v>158</v>
      </c>
      <c r="R33" t="s">
        <v>32</v>
      </c>
      <c r="S33" t="s">
        <v>33</v>
      </c>
    </row>
    <row r="34" spans="1:22" ht="16">
      <c r="A34" t="s">
        <v>120</v>
      </c>
      <c r="B34" t="s">
        <v>171</v>
      </c>
      <c r="C34" t="s">
        <v>24</v>
      </c>
      <c r="D34" t="s">
        <v>148</v>
      </c>
      <c r="E34" t="s">
        <v>45</v>
      </c>
      <c r="F34" t="s">
        <v>102</v>
      </c>
      <c r="G34" t="str">
        <f>HYPERLINK("https://www.facebook.com/2006340389947248")</f>
        <v>https://www.facebook.com/2006340389947248</v>
      </c>
      <c r="H34" t="s">
        <v>28</v>
      </c>
      <c r="I34" t="s">
        <v>172</v>
      </c>
      <c r="K34" t="str">
        <f>HYPERLINK("https://www.facebook.com/100017139193199")</f>
        <v>https://www.facebook.com/100017139193199</v>
      </c>
      <c r="M34" t="s">
        <v>40</v>
      </c>
      <c r="N34" t="s">
        <v>31</v>
      </c>
      <c r="O34" t="s">
        <v>172</v>
      </c>
      <c r="P34" t="str">
        <f>HYPERLINK("https://www.facebook.com/100017139193199")</f>
        <v>https://www.facebook.com/100017139193199</v>
      </c>
      <c r="R34" t="s">
        <v>32</v>
      </c>
      <c r="S34" t="s">
        <v>33</v>
      </c>
      <c r="T34" t="s">
        <v>34</v>
      </c>
      <c r="U34" t="s">
        <v>173</v>
      </c>
      <c r="V34" t="s">
        <v>174</v>
      </c>
    </row>
    <row r="35" spans="1:22" ht="16">
      <c r="A35" t="s">
        <v>120</v>
      </c>
      <c r="B35" t="s">
        <v>175</v>
      </c>
      <c r="C35" t="s">
        <v>24</v>
      </c>
      <c r="D35" t="s">
        <v>148</v>
      </c>
      <c r="E35" t="s">
        <v>45</v>
      </c>
      <c r="F35" t="s">
        <v>102</v>
      </c>
      <c r="G35" t="str">
        <f>HYPERLINK("https://www.facebook.com/27342607268756657")</f>
        <v>https://www.facebook.com/27342607268756657</v>
      </c>
      <c r="H35" t="s">
        <v>28</v>
      </c>
      <c r="I35" t="s">
        <v>176</v>
      </c>
      <c r="J35" t="s">
        <v>177</v>
      </c>
      <c r="K35" t="str">
        <f>HYPERLINK("https://www.facebook.com/1512470873")</f>
        <v>https://www.facebook.com/1512470873</v>
      </c>
      <c r="M35" t="s">
        <v>30</v>
      </c>
      <c r="N35" t="s">
        <v>31</v>
      </c>
      <c r="O35" t="s">
        <v>178</v>
      </c>
      <c r="P35" t="str">
        <f>HYPERLINK("https://www.facebook.com/2323612031082860")</f>
        <v>https://www.facebook.com/2323612031082860</v>
      </c>
      <c r="Q35">
        <v>11717</v>
      </c>
      <c r="R35" t="s">
        <v>32</v>
      </c>
      <c r="S35" t="s">
        <v>33</v>
      </c>
      <c r="T35" t="s">
        <v>179</v>
      </c>
      <c r="U35" t="s">
        <v>180</v>
      </c>
      <c r="V35" t="s">
        <v>181</v>
      </c>
    </row>
    <row r="36" spans="1:19" ht="16">
      <c r="A36" t="s">
        <v>120</v>
      </c>
      <c r="B36" t="s">
        <v>182</v>
      </c>
      <c r="C36" t="s">
        <v>24</v>
      </c>
      <c r="D36" t="s">
        <v>148</v>
      </c>
      <c r="E36" t="s">
        <v>45</v>
      </c>
      <c r="F36" t="s">
        <v>102</v>
      </c>
      <c r="G36" t="str">
        <f>HYPERLINK("https://www.facebook.com/870140316023524")</f>
        <v>https://www.facebook.com/870140316023524</v>
      </c>
      <c r="H36" t="s">
        <v>28</v>
      </c>
      <c r="I36" t="s">
        <v>183</v>
      </c>
      <c r="K36" t="str">
        <f>HYPERLINK("https://www.facebook.com/100090826909418")</f>
        <v>https://www.facebook.com/100090826909418</v>
      </c>
      <c r="M36" t="s">
        <v>30</v>
      </c>
      <c r="N36" t="s">
        <v>31</v>
      </c>
      <c r="O36" t="s">
        <v>183</v>
      </c>
      <c r="P36" t="str">
        <f>HYPERLINK("https://www.facebook.com/100090826909418")</f>
        <v>https://www.facebook.com/100090826909418</v>
      </c>
      <c r="R36" t="s">
        <v>32</v>
      </c>
      <c r="S36" t="s">
        <v>33</v>
      </c>
    </row>
    <row r="37" spans="1:22" ht="16">
      <c r="A37" t="s">
        <v>120</v>
      </c>
      <c r="B37" t="s">
        <v>184</v>
      </c>
      <c r="C37" t="s">
        <v>80</v>
      </c>
      <c r="D37" t="s">
        <v>24</v>
      </c>
      <c r="E37" t="s">
        <v>74</v>
      </c>
      <c r="F37" t="s">
        <v>185</v>
      </c>
      <c r="G37" t="str">
        <f>HYPERLINK("https://www.facebook.com/svitlana.klymovich/posts/pfbid02qP7ZpbgqAkdmwjj623cVdZoMDpbURhSZXVuLTR77NpQ4k3xY5nSy4YMZMF7NSPFXl?comment_id=2056050991844302")</f>
        <v>https://www.facebook.com/svitlana.klymovich/posts/pfbid02qP7ZpbgqAkdmwjj623cVdZoMDpbURhSZXVuLTR77NpQ4k3xY5nSy4YMZMF7NSPFXl?comment_id=2056050991844302</v>
      </c>
      <c r="H37" t="s">
        <v>28</v>
      </c>
      <c r="I37" t="s">
        <v>186</v>
      </c>
      <c r="K37" t="str">
        <f>HYPERLINK("https://www.facebook.com/pfbid02pRrU83nsR2EC1TSdckr34Wb6sQU1LhDjRrr8KHyJ56QhcR3uHP1R62xPJxAC2ZZYl")</f>
        <v>https://www.facebook.com/pfbid02pRrU83nsR2EC1TSdckr34Wb6sQU1LhDjRrr8KHyJ56QhcR3uHP1R62xPJxAC2ZZYl</v>
      </c>
      <c r="M37" t="s">
        <v>30</v>
      </c>
      <c r="N37" t="s">
        <v>31</v>
      </c>
      <c r="O37" t="s">
        <v>187</v>
      </c>
      <c r="P37" t="str">
        <f>HYPERLINK("https://www.facebook.com/100010281481040")</f>
        <v>https://www.facebook.com/100010281481040</v>
      </c>
      <c r="R37" t="s">
        <v>32</v>
      </c>
      <c r="S37" t="s">
        <v>188</v>
      </c>
      <c r="T37" t="s">
        <v>34</v>
      </c>
      <c r="U37" t="s">
        <v>167</v>
      </c>
      <c r="V37" t="s">
        <v>189</v>
      </c>
    </row>
    <row r="38" spans="1:22" ht="16">
      <c r="A38" t="s">
        <v>120</v>
      </c>
      <c r="B38" t="s">
        <v>190</v>
      </c>
      <c r="C38" t="s">
        <v>24</v>
      </c>
      <c r="D38" t="s">
        <v>165</v>
      </c>
      <c r="E38" t="s">
        <v>45</v>
      </c>
      <c r="F38" t="s">
        <v>46</v>
      </c>
      <c r="G38" t="str">
        <f>HYPERLINK("https://www.facebook.com/1999902380740639")</f>
        <v>https://www.facebook.com/1999902380740639</v>
      </c>
      <c r="H38" t="s">
        <v>28</v>
      </c>
      <c r="I38" t="s">
        <v>191</v>
      </c>
      <c r="K38" t="str">
        <f>HYPERLINK("https://www.facebook.com/100021626893015")</f>
        <v>https://www.facebook.com/100021626893015</v>
      </c>
      <c r="M38" t="s">
        <v>40</v>
      </c>
      <c r="N38" t="s">
        <v>31</v>
      </c>
      <c r="O38" t="s">
        <v>191</v>
      </c>
      <c r="P38" t="str">
        <f>HYPERLINK("https://www.facebook.com/100021626893015")</f>
        <v>https://www.facebook.com/100021626893015</v>
      </c>
      <c r="R38" t="s">
        <v>32</v>
      </c>
      <c r="S38" t="s">
        <v>33</v>
      </c>
      <c r="T38" t="s">
        <v>192</v>
      </c>
      <c r="U38" t="s">
        <v>193</v>
      </c>
      <c r="V38" t="s">
        <v>194</v>
      </c>
    </row>
    <row r="39" spans="1:22" ht="16">
      <c r="A39" t="s">
        <v>120</v>
      </c>
      <c r="B39" t="s">
        <v>195</v>
      </c>
      <c r="C39" t="s">
        <v>80</v>
      </c>
      <c r="D39" t="s">
        <v>196</v>
      </c>
      <c r="E39" t="s">
        <v>74</v>
      </c>
      <c r="F39" t="s">
        <v>3</v>
      </c>
      <c r="G39" t="str">
        <f>HYPERLINK("https://www.facebook.com/volodimir.ripec.kij/posts/pfbid0f91gGYU87Lhp6SDnNwmM7CL2b21Zm6F3ciN3HBu1rXBeHbtnX5hZiq5BKHG9GR3jl?comment_id=1491390935743149")</f>
        <v>https://www.facebook.com/volodimir.ripec.kij/posts/pfbid0f91gGYU87Lhp6SDnNwmM7CL2b21Zm6F3ciN3HBu1rXBeHbtnX5hZiq5BKHG9GR3jl?comment_id=1491390935743149</v>
      </c>
      <c r="H39" t="s">
        <v>28</v>
      </c>
      <c r="I39" t="s">
        <v>197</v>
      </c>
      <c r="K39" t="str">
        <f>HYPERLINK("https://www.facebook.com/100081178149695")</f>
        <v>https://www.facebook.com/100081178149695</v>
      </c>
      <c r="M39" t="s">
        <v>30</v>
      </c>
      <c r="N39" t="s">
        <v>31</v>
      </c>
      <c r="O39" t="s">
        <v>198</v>
      </c>
      <c r="P39" t="str">
        <f>HYPERLINK("https://www.facebook.com/100003028668485")</f>
        <v>https://www.facebook.com/100003028668485</v>
      </c>
      <c r="R39" t="s">
        <v>32</v>
      </c>
      <c r="S39" t="s">
        <v>85</v>
      </c>
      <c r="T39" t="s">
        <v>199</v>
      </c>
      <c r="U39" t="s">
        <v>200</v>
      </c>
      <c r="V39" t="s">
        <v>200</v>
      </c>
    </row>
    <row r="40" spans="1:19" ht="16">
      <c r="A40" t="s">
        <v>120</v>
      </c>
      <c r="B40" t="s">
        <v>201</v>
      </c>
      <c r="C40" t="s">
        <v>72</v>
      </c>
      <c r="D40" t="s">
        <v>202</v>
      </c>
      <c r="E40" t="s">
        <v>74</v>
      </c>
      <c r="F40" t="s">
        <v>3</v>
      </c>
      <c r="G40" t="str">
        <f>HYPERLINK("https://www.facebook.com/permalink.php?story_fbid=pfbid022EiDACdienKpjPECyX349BaVUSYZJn3ACWNGRCFbfhcrL4SL4Kmz7CmKJrKfz1J4l&amp;id=100009468959379&amp;comment_id=1275827351127740&amp;reply_comment_id=1608743893698841")</f>
        <v>https://www.facebook.com/permalink.php?story_fbid=pfbid022EiDACdienKpjPECyX349BaVUSYZJn3ACWNGRCFbfhcrL4SL4Kmz7CmKJrKfz1J4l&amp;id=100009468959379&amp;comment_id=1275827351127740&amp;reply_comment_id=1608743893698841</v>
      </c>
      <c r="H40" t="s">
        <v>28</v>
      </c>
      <c r="I40" t="s">
        <v>203</v>
      </c>
      <c r="K40" t="str">
        <f>HYPERLINK("https://www.facebook.com/61586877637132")</f>
        <v>https://www.facebook.com/61586877637132</v>
      </c>
      <c r="M40" t="s">
        <v>40</v>
      </c>
      <c r="N40" t="s">
        <v>31</v>
      </c>
      <c r="O40" t="s">
        <v>76</v>
      </c>
      <c r="P40" t="str">
        <f>HYPERLINK("https://www.facebook.com/100009468959379")</f>
        <v>https://www.facebook.com/100009468959379</v>
      </c>
      <c r="R40" t="s">
        <v>32</v>
      </c>
      <c r="S40" t="s">
        <v>33</v>
      </c>
    </row>
    <row r="41" spans="1:22" ht="16">
      <c r="A41" t="s">
        <v>120</v>
      </c>
      <c r="B41" t="s">
        <v>204</v>
      </c>
      <c r="C41" t="s">
        <v>80</v>
      </c>
      <c r="D41" t="s">
        <v>205</v>
      </c>
      <c r="E41" t="s">
        <v>74</v>
      </c>
      <c r="F41" t="s">
        <v>3</v>
      </c>
      <c r="G41" t="str">
        <f>HYPERLINK("https://www.facebook.com/permalink.php?story_fbid=pfbid0dizhnLfNuQX42k4f1oKrZD9DBVc6WTTr6yHN1yMzUyhrJM8hT46pvGvRQnRP3UDEl&amp;id=100048620073063&amp;comment_id=1925026754769826")</f>
        <v>https://www.facebook.com/permalink.php?story_fbid=pfbid0dizhnLfNuQX42k4f1oKrZD9DBVc6WTTr6yHN1yMzUyhrJM8hT46pvGvRQnRP3UDEl&amp;id=100048620073063&amp;comment_id=1925026754769826</v>
      </c>
      <c r="H41" t="s">
        <v>28</v>
      </c>
      <c r="I41" t="s">
        <v>206</v>
      </c>
      <c r="K41" t="str">
        <f>HYPERLINK("https://www.facebook.com/100040493076145")</f>
        <v>https://www.facebook.com/100040493076145</v>
      </c>
      <c r="L41">
        <v>48</v>
      </c>
      <c r="M41" t="s">
        <v>30</v>
      </c>
      <c r="N41" t="s">
        <v>31</v>
      </c>
      <c r="O41" t="s">
        <v>207</v>
      </c>
      <c r="P41" t="str">
        <f>HYPERLINK("https://www.facebook.com/100048620073063")</f>
        <v>https://www.facebook.com/100048620073063</v>
      </c>
      <c r="R41" t="s">
        <v>32</v>
      </c>
      <c r="S41" t="s">
        <v>85</v>
      </c>
      <c r="T41" t="s">
        <v>34</v>
      </c>
      <c r="U41" t="s">
        <v>77</v>
      </c>
      <c r="V41" t="s">
        <v>208</v>
      </c>
    </row>
    <row r="42" spans="1:19" ht="16">
      <c r="A42" t="s">
        <v>120</v>
      </c>
      <c r="B42" t="s">
        <v>209</v>
      </c>
      <c r="C42" t="s">
        <v>80</v>
      </c>
      <c r="D42" t="s">
        <v>210</v>
      </c>
      <c r="E42" t="s">
        <v>74</v>
      </c>
      <c r="F42" t="s">
        <v>3</v>
      </c>
      <c r="G42" t="str">
        <f>HYPERLINK("https://www.facebook.com/tetyanayarchak/posts/pfbid0B94KxsZRFdPvuWg5sC7K3HyQjEBRSRWnxS3uYTcPbeq1yH8pwZte9FvUrqWT2noFl?comment_id=3064918643707630")</f>
        <v>https://www.facebook.com/tetyanayarchak/posts/pfbid0B94KxsZRFdPvuWg5sC7K3HyQjEBRSRWnxS3uYTcPbeq1yH8pwZte9FvUrqWT2noFl?comment_id=3064918643707630</v>
      </c>
      <c r="H42" t="s">
        <v>28</v>
      </c>
      <c r="I42" t="s">
        <v>211</v>
      </c>
      <c r="K42" t="str">
        <f>HYPERLINK("https://www.facebook.com/100052333216492")</f>
        <v>https://www.facebook.com/100052333216492</v>
      </c>
      <c r="M42" t="s">
        <v>30</v>
      </c>
      <c r="N42" t="s">
        <v>31</v>
      </c>
      <c r="O42" t="s">
        <v>84</v>
      </c>
      <c r="P42" t="str">
        <f>HYPERLINK("https://www.facebook.com/100025133615049")</f>
        <v>https://www.facebook.com/100025133615049</v>
      </c>
      <c r="R42" t="s">
        <v>32</v>
      </c>
      <c r="S42" t="s">
        <v>85</v>
      </c>
    </row>
    <row r="43" spans="1:22" ht="16">
      <c r="A43" t="s">
        <v>120</v>
      </c>
      <c r="B43" t="s">
        <v>212</v>
      </c>
      <c r="C43" t="s">
        <v>72</v>
      </c>
      <c r="D43" t="s">
        <v>213</v>
      </c>
      <c r="E43" t="s">
        <v>74</v>
      </c>
      <c r="F43" t="s">
        <v>3</v>
      </c>
      <c r="G43" t="str">
        <f>HYPERLINK("https://www.facebook.com/permalink.php?story_fbid=pfbid022EiDACdienKpjPECyX349BaVUSYZJn3ACWNGRCFbfhcrL4SL4Kmz7CmKJrKfz1J4l&amp;id=100009468959379&amp;comment_id=759991563556652&amp;reply_comment_id=895438743464539")</f>
        <v>https://www.facebook.com/permalink.php?story_fbid=pfbid022EiDACdienKpjPECyX349BaVUSYZJn3ACWNGRCFbfhcrL4SL4Kmz7CmKJrKfz1J4l&amp;id=100009468959379&amp;comment_id=759991563556652&amp;reply_comment_id=895438743464539</v>
      </c>
      <c r="H43" t="s">
        <v>28</v>
      </c>
      <c r="I43" t="s">
        <v>214</v>
      </c>
      <c r="J43" t="s">
        <v>215</v>
      </c>
      <c r="K43" t="str">
        <f>HYPERLINK("https://www.facebook.com/100003127402031")</f>
        <v>https://www.facebook.com/100003127402031</v>
      </c>
      <c r="L43">
        <v>2741</v>
      </c>
      <c r="M43" t="s">
        <v>40</v>
      </c>
      <c r="N43" t="s">
        <v>31</v>
      </c>
      <c r="O43" t="s">
        <v>76</v>
      </c>
      <c r="P43" t="str">
        <f>HYPERLINK("https://www.facebook.com/100009468959379")</f>
        <v>https://www.facebook.com/100009468959379</v>
      </c>
      <c r="R43" t="s">
        <v>32</v>
      </c>
      <c r="S43" t="s">
        <v>33</v>
      </c>
      <c r="T43" t="s">
        <v>34</v>
      </c>
      <c r="U43" t="s">
        <v>58</v>
      </c>
      <c r="V43" t="s">
        <v>58</v>
      </c>
    </row>
    <row r="44" spans="1:22" ht="16">
      <c r="A44" t="s">
        <v>120</v>
      </c>
      <c r="B44" t="s">
        <v>216</v>
      </c>
      <c r="C44" t="s">
        <v>72</v>
      </c>
      <c r="D44" t="s">
        <v>217</v>
      </c>
      <c r="E44" t="s">
        <v>74</v>
      </c>
      <c r="F44" t="s">
        <v>3</v>
      </c>
      <c r="G44" t="str">
        <f>HYPERLINK("https://www.facebook.com/permalink.php?story_fbid=pfbid022EiDACdienKpjPECyX349BaVUSYZJn3ACWNGRCFbfhcrL4SL4Kmz7CmKJrKfz1J4l&amp;id=100009468959379&amp;comment_id=2788336844832412")</f>
        <v>https://www.facebook.com/permalink.php?story_fbid=pfbid022EiDACdienKpjPECyX349BaVUSYZJn3ACWNGRCFbfhcrL4SL4Kmz7CmKJrKfz1J4l&amp;id=100009468959379&amp;comment_id=2788336844832412</v>
      </c>
      <c r="H44" t="s">
        <v>28</v>
      </c>
      <c r="I44" t="s">
        <v>214</v>
      </c>
      <c r="J44" t="s">
        <v>215</v>
      </c>
      <c r="K44" t="str">
        <f>HYPERLINK("https://www.facebook.com/100003127402031")</f>
        <v>https://www.facebook.com/100003127402031</v>
      </c>
      <c r="L44">
        <v>2741</v>
      </c>
      <c r="M44" t="s">
        <v>40</v>
      </c>
      <c r="N44" t="s">
        <v>31</v>
      </c>
      <c r="O44" t="s">
        <v>76</v>
      </c>
      <c r="P44" t="str">
        <f>HYPERLINK("https://www.facebook.com/100009468959379")</f>
        <v>https://www.facebook.com/100009468959379</v>
      </c>
      <c r="R44" t="s">
        <v>32</v>
      </c>
      <c r="S44" t="s">
        <v>33</v>
      </c>
      <c r="T44" t="s">
        <v>34</v>
      </c>
      <c r="U44" t="s">
        <v>58</v>
      </c>
      <c r="V44" t="s">
        <v>58</v>
      </c>
    </row>
    <row r="45" spans="1:19" ht="16">
      <c r="A45" t="s">
        <v>120</v>
      </c>
      <c r="B45" t="s">
        <v>216</v>
      </c>
      <c r="C45" t="s">
        <v>24</v>
      </c>
      <c r="D45" t="s">
        <v>165</v>
      </c>
      <c r="E45" t="s">
        <v>45</v>
      </c>
      <c r="F45" t="s">
        <v>46</v>
      </c>
      <c r="G45" t="str">
        <f>HYPERLINK("https://www.facebook.com/2283941412129361")</f>
        <v>https://www.facebook.com/2283941412129361</v>
      </c>
      <c r="H45" t="s">
        <v>28</v>
      </c>
      <c r="I45" t="s">
        <v>218</v>
      </c>
      <c r="K45" t="str">
        <f>HYPERLINK("https://www.facebook.com/100015405722348")</f>
        <v>https://www.facebook.com/100015405722348</v>
      </c>
      <c r="M45" t="s">
        <v>30</v>
      </c>
      <c r="N45" t="s">
        <v>31</v>
      </c>
      <c r="O45" t="s">
        <v>218</v>
      </c>
      <c r="P45" t="str">
        <f>HYPERLINK("https://www.facebook.com/100015405722348")</f>
        <v>https://www.facebook.com/100015405722348</v>
      </c>
      <c r="R45" t="s">
        <v>32</v>
      </c>
      <c r="S45" t="s">
        <v>33</v>
      </c>
    </row>
    <row r="46" spans="1:22" ht="16">
      <c r="A46" t="s">
        <v>120</v>
      </c>
      <c r="B46" t="s">
        <v>219</v>
      </c>
      <c r="C46" t="s">
        <v>24</v>
      </c>
      <c r="D46" t="s">
        <v>165</v>
      </c>
      <c r="E46" t="s">
        <v>45</v>
      </c>
      <c r="F46" t="s">
        <v>46</v>
      </c>
      <c r="G46" t="str">
        <f>HYPERLINK("https://www.facebook.com/122164824746857616")</f>
        <v>https://www.facebook.com/122164824746857616</v>
      </c>
      <c r="H46" t="s">
        <v>28</v>
      </c>
      <c r="I46" t="s">
        <v>220</v>
      </c>
      <c r="K46" t="str">
        <f>HYPERLINK("https://www.facebook.com/61575728487020")</f>
        <v>https://www.facebook.com/61575728487020</v>
      </c>
      <c r="M46" t="s">
        <v>30</v>
      </c>
      <c r="N46" t="s">
        <v>31</v>
      </c>
      <c r="O46" t="s">
        <v>220</v>
      </c>
      <c r="P46" t="str">
        <f>HYPERLINK("https://www.facebook.com/61575728487020")</f>
        <v>https://www.facebook.com/61575728487020</v>
      </c>
      <c r="R46" t="s">
        <v>32</v>
      </c>
      <c r="S46" t="s">
        <v>33</v>
      </c>
      <c r="T46" t="s">
        <v>192</v>
      </c>
      <c r="U46" t="s">
        <v>193</v>
      </c>
      <c r="V46" t="s">
        <v>221</v>
      </c>
    </row>
    <row r="47" spans="1:19" ht="16">
      <c r="A47" t="s">
        <v>120</v>
      </c>
      <c r="B47" t="s">
        <v>222</v>
      </c>
      <c r="C47" t="s">
        <v>72</v>
      </c>
      <c r="D47" t="s">
        <v>223</v>
      </c>
      <c r="E47" t="s">
        <v>74</v>
      </c>
      <c r="F47" t="s">
        <v>3</v>
      </c>
      <c r="G47" t="str">
        <f>HYPERLINK("https://www.facebook.com/permalink.php?story_fbid=pfbid022EiDACdienKpjPECyX349BaVUSYZJn3ACWNGRCFbfhcrL4SL4Kmz7CmKJrKfz1J4l&amp;id=100009468959379&amp;comment_id=1275827351127740&amp;reply_comment_id=847386785024540")</f>
        <v>https://www.facebook.com/permalink.php?story_fbid=pfbid022EiDACdienKpjPECyX349BaVUSYZJn3ACWNGRCFbfhcrL4SL4Kmz7CmKJrKfz1J4l&amp;id=100009468959379&amp;comment_id=1275827351127740&amp;reply_comment_id=847386785024540</v>
      </c>
      <c r="H47" t="s">
        <v>28</v>
      </c>
      <c r="I47" t="s">
        <v>224</v>
      </c>
      <c r="K47" t="str">
        <f>HYPERLINK("https://www.facebook.com/100017201707471")</f>
        <v>https://www.facebook.com/100017201707471</v>
      </c>
      <c r="M47" t="s">
        <v>30</v>
      </c>
      <c r="N47" t="s">
        <v>31</v>
      </c>
      <c r="O47" t="s">
        <v>76</v>
      </c>
      <c r="P47" t="str">
        <f>HYPERLINK("https://www.facebook.com/100009468959379")</f>
        <v>https://www.facebook.com/100009468959379</v>
      </c>
      <c r="R47" t="s">
        <v>32</v>
      </c>
      <c r="S47" t="s">
        <v>85</v>
      </c>
    </row>
    <row r="48" spans="1:22" ht="16">
      <c r="A48" t="s">
        <v>120</v>
      </c>
      <c r="B48" t="s">
        <v>225</v>
      </c>
      <c r="C48" t="s">
        <v>72</v>
      </c>
      <c r="D48" t="s">
        <v>226</v>
      </c>
      <c r="E48" t="s">
        <v>74</v>
      </c>
      <c r="F48" t="s">
        <v>3</v>
      </c>
      <c r="G48" t="str">
        <f>HYPERLINK("https://www.facebook.com/permalink.php?story_fbid=pfbid022EiDACdienKpjPECyX349BaVUSYZJn3ACWNGRCFbfhcrL4SL4Kmz7CmKJrKfz1J4l&amp;id=100009468959379&amp;comment_id=1275827351127740&amp;reply_comment_id=4281210535459854")</f>
        <v>https://www.facebook.com/permalink.php?story_fbid=pfbid022EiDACdienKpjPECyX349BaVUSYZJn3ACWNGRCFbfhcrL4SL4Kmz7CmKJrKfz1J4l&amp;id=100009468959379&amp;comment_id=1275827351127740&amp;reply_comment_id=4281210535459854</v>
      </c>
      <c r="H48" t="s">
        <v>28</v>
      </c>
      <c r="I48" t="s">
        <v>227</v>
      </c>
      <c r="J48" t="s">
        <v>228</v>
      </c>
      <c r="K48" t="str">
        <f>HYPERLINK("https://www.facebook.com/100008709243525")</f>
        <v>https://www.facebook.com/100008709243525</v>
      </c>
      <c r="M48" t="s">
        <v>30</v>
      </c>
      <c r="N48" t="s">
        <v>31</v>
      </c>
      <c r="O48" t="s">
        <v>76</v>
      </c>
      <c r="P48" t="str">
        <f>HYPERLINK("https://www.facebook.com/100009468959379")</f>
        <v>https://www.facebook.com/100009468959379</v>
      </c>
      <c r="R48" t="s">
        <v>32</v>
      </c>
      <c r="S48" t="s">
        <v>33</v>
      </c>
      <c r="T48" t="s">
        <v>34</v>
      </c>
      <c r="U48" t="s">
        <v>41</v>
      </c>
      <c r="V48" t="s">
        <v>42</v>
      </c>
    </row>
    <row r="49" spans="1:19" ht="16">
      <c r="A49" t="s">
        <v>120</v>
      </c>
      <c r="B49" t="s">
        <v>229</v>
      </c>
      <c r="C49" t="s">
        <v>24</v>
      </c>
      <c r="D49" t="s">
        <v>230</v>
      </c>
      <c r="E49" t="s">
        <v>26</v>
      </c>
      <c r="F49" t="s">
        <v>55</v>
      </c>
      <c r="G49" t="str">
        <f>HYPERLINK("https://www.facebook.com/4203240726594315")</f>
        <v>https://www.facebook.com/4203240726594315</v>
      </c>
      <c r="H49" t="s">
        <v>28</v>
      </c>
      <c r="I49" t="s">
        <v>231</v>
      </c>
      <c r="K49" t="str">
        <f>HYPERLINK("https://www.facebook.com/100007252876834")</f>
        <v>https://www.facebook.com/100007252876834</v>
      </c>
      <c r="M49" t="s">
        <v>30</v>
      </c>
      <c r="N49" t="s">
        <v>31</v>
      </c>
      <c r="O49" t="s">
        <v>231</v>
      </c>
      <c r="P49" t="str">
        <f>HYPERLINK("https://www.facebook.com/100007252876834")</f>
        <v>https://www.facebook.com/100007252876834</v>
      </c>
      <c r="R49" t="s">
        <v>32</v>
      </c>
      <c r="S49" t="s">
        <v>33</v>
      </c>
    </row>
    <row r="50" spans="1:22" ht="16">
      <c r="A50" t="s">
        <v>120</v>
      </c>
      <c r="B50" t="s">
        <v>232</v>
      </c>
      <c r="C50" t="s">
        <v>24</v>
      </c>
      <c r="D50" t="s">
        <v>233</v>
      </c>
      <c r="E50" t="s">
        <v>26</v>
      </c>
      <c r="F50" t="s">
        <v>27</v>
      </c>
      <c r="G50" t="str">
        <f>HYPERLINK("https://www.facebook.com/2442969352805270")</f>
        <v>https://www.facebook.com/2442969352805270</v>
      </c>
      <c r="H50" t="s">
        <v>28</v>
      </c>
      <c r="I50" t="s">
        <v>234</v>
      </c>
      <c r="K50" t="str">
        <f>HYPERLINK("https://www.facebook.com/100012766874205")</f>
        <v>https://www.facebook.com/100012766874205</v>
      </c>
      <c r="M50" t="s">
        <v>30</v>
      </c>
      <c r="N50" t="s">
        <v>31</v>
      </c>
      <c r="O50" t="s">
        <v>234</v>
      </c>
      <c r="P50" t="str">
        <f>HYPERLINK("https://www.facebook.com/100012766874205")</f>
        <v>https://www.facebook.com/100012766874205</v>
      </c>
      <c r="R50" t="s">
        <v>32</v>
      </c>
      <c r="S50" t="s">
        <v>33</v>
      </c>
      <c r="T50" t="s">
        <v>34</v>
      </c>
      <c r="U50" t="s">
        <v>235</v>
      </c>
      <c r="V50" t="s">
        <v>236</v>
      </c>
    </row>
    <row r="51" spans="1:22" ht="16">
      <c r="A51" t="s">
        <v>120</v>
      </c>
      <c r="B51" t="s">
        <v>237</v>
      </c>
      <c r="C51" t="s">
        <v>24</v>
      </c>
      <c r="D51" t="s">
        <v>238</v>
      </c>
      <c r="E51" t="s">
        <v>45</v>
      </c>
      <c r="F51" t="s">
        <v>3</v>
      </c>
      <c r="G51" t="str">
        <f>HYPERLINK("https://www.facebook.com/3838405769788709")</f>
        <v>https://www.facebook.com/3838405769788709</v>
      </c>
      <c r="H51" t="s">
        <v>28</v>
      </c>
      <c r="I51" t="s">
        <v>239</v>
      </c>
      <c r="K51" t="str">
        <f>HYPERLINK("https://www.facebook.com/100008579719057")</f>
        <v>https://www.facebook.com/100008579719057</v>
      </c>
      <c r="M51" t="s">
        <v>30</v>
      </c>
      <c r="N51" t="s">
        <v>31</v>
      </c>
      <c r="O51" t="s">
        <v>239</v>
      </c>
      <c r="P51" t="str">
        <f>HYPERLINK("https://www.facebook.com/100008579719057")</f>
        <v>https://www.facebook.com/100008579719057</v>
      </c>
      <c r="R51" t="s">
        <v>32</v>
      </c>
      <c r="S51" t="s">
        <v>33</v>
      </c>
      <c r="T51" t="s">
        <v>240</v>
      </c>
      <c r="U51" t="s">
        <v>241</v>
      </c>
      <c r="V51" t="s">
        <v>242</v>
      </c>
    </row>
    <row r="52" spans="1:19" ht="16">
      <c r="A52" t="s">
        <v>120</v>
      </c>
      <c r="B52" t="s">
        <v>243</v>
      </c>
      <c r="C52" t="s">
        <v>72</v>
      </c>
      <c r="D52" t="s">
        <v>244</v>
      </c>
      <c r="E52" t="s">
        <v>74</v>
      </c>
      <c r="F52" t="s">
        <v>3</v>
      </c>
      <c r="G52" t="str">
        <f>HYPERLINK("https://www.facebook.com/permalink.php?story_fbid=pfbid022EiDACdienKpjPECyX349BaVUSYZJn3ACWNGRCFbfhcrL4SL4Kmz7CmKJrKfz1J4l&amp;id=100009468959379&amp;comment_id=905595478912647")</f>
        <v>https://www.facebook.com/permalink.php?story_fbid=pfbid022EiDACdienKpjPECyX349BaVUSYZJn3ACWNGRCFbfhcrL4SL4Kmz7CmKJrKfz1J4l&amp;id=100009468959379&amp;comment_id=905595478912647</v>
      </c>
      <c r="H52" t="s">
        <v>28</v>
      </c>
      <c r="I52" t="s">
        <v>245</v>
      </c>
      <c r="K52" t="str">
        <f>HYPERLINK("https://www.facebook.com/100008510436226")</f>
        <v>https://www.facebook.com/100008510436226</v>
      </c>
      <c r="M52" t="s">
        <v>30</v>
      </c>
      <c r="N52" t="s">
        <v>31</v>
      </c>
      <c r="O52" t="s">
        <v>76</v>
      </c>
      <c r="P52" t="str">
        <f>HYPERLINK("https://www.facebook.com/100009468959379")</f>
        <v>https://www.facebook.com/100009468959379</v>
      </c>
      <c r="R52" t="s">
        <v>32</v>
      </c>
      <c r="S52" t="s">
        <v>33</v>
      </c>
    </row>
    <row r="53" spans="1:22" ht="16">
      <c r="A53" t="s">
        <v>120</v>
      </c>
      <c r="B53" t="s">
        <v>246</v>
      </c>
      <c r="C53" t="s">
        <v>24</v>
      </c>
      <c r="D53" t="s">
        <v>247</v>
      </c>
      <c r="E53" t="s">
        <v>101</v>
      </c>
      <c r="F53" t="s">
        <v>46</v>
      </c>
      <c r="G53" t="str">
        <f>HYPERLINK("https://www.facebook.com/2111363479616555")</f>
        <v>https://www.facebook.com/2111363479616555</v>
      </c>
      <c r="H53" t="s">
        <v>28</v>
      </c>
      <c r="I53" t="s">
        <v>248</v>
      </c>
      <c r="J53" t="s">
        <v>249</v>
      </c>
      <c r="K53" t="str">
        <f>HYPERLINK("https://www.facebook.com/100022287703686")</f>
        <v>https://www.facebook.com/100022287703686</v>
      </c>
      <c r="M53" t="s">
        <v>40</v>
      </c>
      <c r="N53" t="s">
        <v>31</v>
      </c>
      <c r="O53" t="s">
        <v>248</v>
      </c>
      <c r="P53" t="str">
        <f>HYPERLINK("https://www.facebook.com/100022287703686")</f>
        <v>https://www.facebook.com/100022287703686</v>
      </c>
      <c r="R53" t="s">
        <v>32</v>
      </c>
      <c r="S53" t="s">
        <v>33</v>
      </c>
      <c r="T53" t="s">
        <v>34</v>
      </c>
      <c r="U53" t="s">
        <v>41</v>
      </c>
      <c r="V53" t="s">
        <v>42</v>
      </c>
    </row>
    <row r="54" spans="1:19" ht="16">
      <c r="A54" t="s">
        <v>120</v>
      </c>
      <c r="B54" t="s">
        <v>250</v>
      </c>
      <c r="C54" t="s">
        <v>72</v>
      </c>
      <c r="D54" t="s">
        <v>251</v>
      </c>
      <c r="E54" t="s">
        <v>74</v>
      </c>
      <c r="F54" t="s">
        <v>3</v>
      </c>
      <c r="G54" t="str">
        <f>HYPERLINK("https://www.facebook.com/permalink.php?story_fbid=pfbid022EiDACdienKpjPECyX349BaVUSYZJn3ACWNGRCFbfhcrL4SL4Kmz7CmKJrKfz1J4l&amp;id=100009468959379&amp;comment_id=1209324364519057&amp;reply_comment_id=1555045285604669")</f>
        <v>https://www.facebook.com/permalink.php?story_fbid=pfbid022EiDACdienKpjPECyX349BaVUSYZJn3ACWNGRCFbfhcrL4SL4Kmz7CmKJrKfz1J4l&amp;id=100009468959379&amp;comment_id=1209324364519057&amp;reply_comment_id=1555045285604669</v>
      </c>
      <c r="H54" t="s">
        <v>28</v>
      </c>
      <c r="I54" t="s">
        <v>252</v>
      </c>
      <c r="K54" t="str">
        <f>HYPERLINK("https://www.facebook.com/100013028881144")</f>
        <v>https://www.facebook.com/100013028881144</v>
      </c>
      <c r="M54" t="s">
        <v>30</v>
      </c>
      <c r="N54" t="s">
        <v>31</v>
      </c>
      <c r="O54" t="s">
        <v>76</v>
      </c>
      <c r="P54" t="str">
        <f>HYPERLINK("https://www.facebook.com/100009468959379")</f>
        <v>https://www.facebook.com/100009468959379</v>
      </c>
      <c r="R54" t="s">
        <v>32</v>
      </c>
      <c r="S54" t="s">
        <v>33</v>
      </c>
    </row>
    <row r="55" spans="1:22" ht="16">
      <c r="A55" t="s">
        <v>120</v>
      </c>
      <c r="B55" t="s">
        <v>253</v>
      </c>
      <c r="C55" t="s">
        <v>24</v>
      </c>
      <c r="D55" t="s">
        <v>254</v>
      </c>
      <c r="E55" t="s">
        <v>45</v>
      </c>
      <c r="F55" t="s">
        <v>46</v>
      </c>
      <c r="G55" t="str">
        <f>HYPERLINK("https://www.facebook.com/4399486893670014")</f>
        <v>https://www.facebook.com/4399486893670014</v>
      </c>
      <c r="H55" t="s">
        <v>28</v>
      </c>
      <c r="I55" t="s">
        <v>255</v>
      </c>
      <c r="K55" t="str">
        <f>HYPERLINK("https://www.facebook.com/100008262405155")</f>
        <v>https://www.facebook.com/100008262405155</v>
      </c>
      <c r="M55" t="s">
        <v>30</v>
      </c>
      <c r="N55" t="s">
        <v>31</v>
      </c>
      <c r="O55" t="s">
        <v>255</v>
      </c>
      <c r="P55" t="str">
        <f>HYPERLINK("https://www.facebook.com/100008262405155")</f>
        <v>https://www.facebook.com/100008262405155</v>
      </c>
      <c r="R55" t="s">
        <v>32</v>
      </c>
      <c r="S55" t="s">
        <v>33</v>
      </c>
      <c r="T55" t="s">
        <v>256</v>
      </c>
      <c r="U55" t="s">
        <v>257</v>
      </c>
      <c r="V55" t="s">
        <v>258</v>
      </c>
    </row>
    <row r="56" spans="1:20" ht="16">
      <c r="A56" t="s">
        <v>120</v>
      </c>
      <c r="B56" t="s">
        <v>259</v>
      </c>
      <c r="C56" t="s">
        <v>80</v>
      </c>
      <c r="D56" t="s">
        <v>260</v>
      </c>
      <c r="E56" t="s">
        <v>74</v>
      </c>
      <c r="F56" t="s">
        <v>3</v>
      </c>
      <c r="G56" t="str">
        <f>HYPERLINK("https://www.facebook.com/groups/203532743338330/posts/2751632061861706/?comment_id=2751640858527493&amp;reply_comment_id=2751832648508314")</f>
        <v>https://www.facebook.com/groups/203532743338330/posts/2751632061861706/?comment_id=2751640858527493&amp;reply_comment_id=2751832648508314</v>
      </c>
      <c r="H56" t="s">
        <v>28</v>
      </c>
      <c r="I56" t="s">
        <v>261</v>
      </c>
      <c r="K56" t="str">
        <f>HYPERLINK("https://www.facebook.com/100021231772629")</f>
        <v>https://www.facebook.com/100021231772629</v>
      </c>
      <c r="M56" t="s">
        <v>30</v>
      </c>
      <c r="N56" t="s">
        <v>31</v>
      </c>
      <c r="O56" t="s">
        <v>262</v>
      </c>
      <c r="P56" t="str">
        <f>HYPERLINK("https://www.facebook.com/203532743338330")</f>
        <v>https://www.facebook.com/203532743338330</v>
      </c>
      <c r="Q56">
        <v>26211</v>
      </c>
      <c r="R56" t="s">
        <v>32</v>
      </c>
      <c r="S56" t="s">
        <v>85</v>
      </c>
      <c r="T56" t="s">
        <v>34</v>
      </c>
    </row>
    <row r="57" spans="1:22" ht="16">
      <c r="A57" t="s">
        <v>120</v>
      </c>
      <c r="B57" t="s">
        <v>263</v>
      </c>
      <c r="C57" t="s">
        <v>24</v>
      </c>
      <c r="D57" t="s">
        <v>165</v>
      </c>
      <c r="E57" t="s">
        <v>45</v>
      </c>
      <c r="F57" t="s">
        <v>46</v>
      </c>
      <c r="G57" t="str">
        <f>HYPERLINK("https://www.facebook.com/2685978015122196")</f>
        <v>https://www.facebook.com/2685978015122196</v>
      </c>
      <c r="H57" t="s">
        <v>28</v>
      </c>
      <c r="I57" t="s">
        <v>264</v>
      </c>
      <c r="K57" t="str">
        <f>HYPERLINK("https://www.facebook.com/100011300715368")</f>
        <v>https://www.facebook.com/100011300715368</v>
      </c>
      <c r="M57" t="s">
        <v>30</v>
      </c>
      <c r="N57" t="s">
        <v>31</v>
      </c>
      <c r="O57" t="s">
        <v>264</v>
      </c>
      <c r="P57" t="str">
        <f>HYPERLINK("https://www.facebook.com/100011300715368")</f>
        <v>https://www.facebook.com/100011300715368</v>
      </c>
      <c r="R57" t="s">
        <v>32</v>
      </c>
      <c r="S57" t="s">
        <v>33</v>
      </c>
      <c r="T57" t="s">
        <v>34</v>
      </c>
      <c r="U57" t="s">
        <v>265</v>
      </c>
      <c r="V57" t="s">
        <v>266</v>
      </c>
    </row>
    <row r="58" spans="1:19" ht="16">
      <c r="A58" t="s">
        <v>120</v>
      </c>
      <c r="B58" t="s">
        <v>267</v>
      </c>
      <c r="C58" t="s">
        <v>72</v>
      </c>
      <c r="D58" t="s">
        <v>268</v>
      </c>
      <c r="E58" t="s">
        <v>74</v>
      </c>
      <c r="F58" t="s">
        <v>3</v>
      </c>
      <c r="G58" t="str">
        <f>HYPERLINK("https://www.facebook.com/permalink.php?story_fbid=pfbid022EiDACdienKpjPECyX349BaVUSYZJn3ACWNGRCFbfhcrL4SL4Kmz7CmKJrKfz1J4l&amp;id=100009468959379&amp;comment_id=1275827351127740&amp;reply_comment_id=2432383420527598")</f>
        <v>https://www.facebook.com/permalink.php?story_fbid=pfbid022EiDACdienKpjPECyX349BaVUSYZJn3ACWNGRCFbfhcrL4SL4Kmz7CmKJrKfz1J4l&amp;id=100009468959379&amp;comment_id=1275827351127740&amp;reply_comment_id=2432383420527598</v>
      </c>
      <c r="H58" t="s">
        <v>28</v>
      </c>
      <c r="I58" t="s">
        <v>203</v>
      </c>
      <c r="K58" t="str">
        <f>HYPERLINK("https://www.facebook.com/61586877637132")</f>
        <v>https://www.facebook.com/61586877637132</v>
      </c>
      <c r="M58" t="s">
        <v>40</v>
      </c>
      <c r="N58" t="s">
        <v>31</v>
      </c>
      <c r="O58" t="s">
        <v>76</v>
      </c>
      <c r="P58" t="str">
        <f>HYPERLINK("https://www.facebook.com/100009468959379")</f>
        <v>https://www.facebook.com/100009468959379</v>
      </c>
      <c r="R58" t="s">
        <v>32</v>
      </c>
      <c r="S58" t="s">
        <v>85</v>
      </c>
    </row>
    <row r="59" spans="1:19" ht="16">
      <c r="A59" t="s">
        <v>120</v>
      </c>
      <c r="B59" t="s">
        <v>269</v>
      </c>
      <c r="C59" t="s">
        <v>24</v>
      </c>
      <c r="D59" t="s">
        <v>148</v>
      </c>
      <c r="E59" t="s">
        <v>45</v>
      </c>
      <c r="F59" t="s">
        <v>102</v>
      </c>
      <c r="G59" t="str">
        <f>HYPERLINK("https://www.facebook.com/1796831494285729")</f>
        <v>https://www.facebook.com/1796831494285729</v>
      </c>
      <c r="H59" t="s">
        <v>28</v>
      </c>
      <c r="I59" t="s">
        <v>270</v>
      </c>
      <c r="K59" t="str">
        <f>HYPERLINK("https://www.facebook.com/100018766865497")</f>
        <v>https://www.facebook.com/100018766865497</v>
      </c>
      <c r="M59" t="s">
        <v>40</v>
      </c>
      <c r="N59" t="s">
        <v>31</v>
      </c>
      <c r="O59" t="s">
        <v>270</v>
      </c>
      <c r="P59" t="str">
        <f>HYPERLINK("https://www.facebook.com/100018766865497")</f>
        <v>https://www.facebook.com/100018766865497</v>
      </c>
      <c r="R59" t="s">
        <v>32</v>
      </c>
      <c r="S59" t="s">
        <v>33</v>
      </c>
    </row>
    <row r="60" spans="1:19" ht="16">
      <c r="A60" t="s">
        <v>120</v>
      </c>
      <c r="B60" t="s">
        <v>271</v>
      </c>
      <c r="C60" t="s">
        <v>72</v>
      </c>
      <c r="D60" t="s">
        <v>272</v>
      </c>
      <c r="E60" t="s">
        <v>74</v>
      </c>
      <c r="F60" t="s">
        <v>3</v>
      </c>
      <c r="G60" t="str">
        <f>HYPERLINK("https://www.facebook.com/permalink.php?story_fbid=pfbid022EiDACdienKpjPECyX349BaVUSYZJn3ACWNGRCFbfhcrL4SL4Kmz7CmKJrKfz1J4l&amp;id=100009468959379&amp;comment_id=1871259476929494&amp;reply_comment_id=3143344205848155")</f>
        <v>https://www.facebook.com/permalink.php?story_fbid=pfbid022EiDACdienKpjPECyX349BaVUSYZJn3ACWNGRCFbfhcrL4SL4Kmz7CmKJrKfz1J4l&amp;id=100009468959379&amp;comment_id=1871259476929494&amp;reply_comment_id=3143344205848155</v>
      </c>
      <c r="H60" t="s">
        <v>28</v>
      </c>
      <c r="I60" t="s">
        <v>273</v>
      </c>
      <c r="K60" t="str">
        <f>HYPERLINK("https://www.facebook.com/100041653021025")</f>
        <v>https://www.facebook.com/100041653021025</v>
      </c>
      <c r="M60" t="s">
        <v>30</v>
      </c>
      <c r="N60" t="s">
        <v>31</v>
      </c>
      <c r="O60" t="s">
        <v>76</v>
      </c>
      <c r="P60" t="str">
        <f>HYPERLINK("https://www.facebook.com/100009468959379")</f>
        <v>https://www.facebook.com/100009468959379</v>
      </c>
      <c r="R60" t="s">
        <v>32</v>
      </c>
      <c r="S60" t="s">
        <v>85</v>
      </c>
    </row>
    <row r="61" spans="1:20" ht="16">
      <c r="A61" t="s">
        <v>120</v>
      </c>
      <c r="B61" t="s">
        <v>274</v>
      </c>
      <c r="C61" t="s">
        <v>24</v>
      </c>
      <c r="D61" t="s">
        <v>275</v>
      </c>
      <c r="E61" t="s">
        <v>45</v>
      </c>
      <c r="F61" t="s">
        <v>3</v>
      </c>
      <c r="G61" t="str">
        <f>HYPERLINK("https://twitter.com/dubrovskaya_m/status/2028143822362812913")</f>
        <v>https://twitter.com/dubrovskaya_m/status/2028143822362812913</v>
      </c>
      <c r="H61" t="s">
        <v>28</v>
      </c>
      <c r="I61" t="s">
        <v>276</v>
      </c>
      <c r="J61" t="s">
        <v>277</v>
      </c>
      <c r="K61" t="str">
        <f>HYPERLINK("http://twitter.com/dubrovskaya_m")</f>
        <v>http://twitter.com/dubrovskaya_m</v>
      </c>
      <c r="L61">
        <v>315</v>
      </c>
      <c r="M61" t="s">
        <v>30</v>
      </c>
      <c r="N61" t="s">
        <v>278</v>
      </c>
      <c r="R61" t="s">
        <v>32</v>
      </c>
      <c r="S61" t="s">
        <v>33</v>
      </c>
      <c r="T61" t="s">
        <v>34</v>
      </c>
    </row>
    <row r="62" spans="1:20" ht="16">
      <c r="A62" t="s">
        <v>120</v>
      </c>
      <c r="B62" t="s">
        <v>279</v>
      </c>
      <c r="C62" t="s">
        <v>24</v>
      </c>
      <c r="D62" t="s">
        <v>280</v>
      </c>
      <c r="E62" t="s">
        <v>26</v>
      </c>
      <c r="F62" t="s">
        <v>281</v>
      </c>
      <c r="G62" t="str">
        <f>HYPERLINK("https://www.tiktok.com/@prostovisti/video/7612322204046331156")</f>
        <v>https://www.tiktok.com/@prostovisti/video/7612322204046331156</v>
      </c>
      <c r="H62" t="s">
        <v>28</v>
      </c>
      <c r="I62" t="s">
        <v>282</v>
      </c>
      <c r="J62" t="s">
        <v>283</v>
      </c>
      <c r="K62" t="str">
        <f>HYPERLINK("https://www.tiktok.com/share/user/7549161922777285637")</f>
        <v>https://www.tiktok.com/share/user/7549161922777285637</v>
      </c>
      <c r="L62">
        <v>2228</v>
      </c>
      <c r="N62" t="s">
        <v>284</v>
      </c>
      <c r="O62" t="s">
        <v>282</v>
      </c>
      <c r="P62" t="str">
        <f>HYPERLINK("https://www.tiktok.com/share/user/7549161922777285637")</f>
        <v>https://www.tiktok.com/share/user/7549161922777285637</v>
      </c>
      <c r="Q62">
        <v>2228</v>
      </c>
      <c r="R62" t="s">
        <v>32</v>
      </c>
      <c r="S62" t="s">
        <v>33</v>
      </c>
      <c r="T62" t="s">
        <v>34</v>
      </c>
    </row>
    <row r="63" spans="1:19" ht="16">
      <c r="A63" t="s">
        <v>120</v>
      </c>
      <c r="B63" t="s">
        <v>285</v>
      </c>
      <c r="C63" t="s">
        <v>24</v>
      </c>
      <c r="D63" t="s">
        <v>165</v>
      </c>
      <c r="E63" t="s">
        <v>45</v>
      </c>
      <c r="F63" t="s">
        <v>46</v>
      </c>
      <c r="G63" t="str">
        <f>HYPERLINK("https://www.facebook.com/2444262249339526")</f>
        <v>https://www.facebook.com/2444262249339526</v>
      </c>
      <c r="H63" t="s">
        <v>28</v>
      </c>
      <c r="I63" t="s">
        <v>286</v>
      </c>
      <c r="K63" t="str">
        <f>HYPERLINK("https://www.facebook.com/100012673237930")</f>
        <v>https://www.facebook.com/100012673237930</v>
      </c>
      <c r="M63" t="s">
        <v>40</v>
      </c>
      <c r="N63" t="s">
        <v>31</v>
      </c>
      <c r="O63" t="s">
        <v>286</v>
      </c>
      <c r="P63" t="str">
        <f>HYPERLINK("https://www.facebook.com/100012673237930")</f>
        <v>https://www.facebook.com/100012673237930</v>
      </c>
      <c r="R63" t="s">
        <v>32</v>
      </c>
      <c r="S63" t="s">
        <v>33</v>
      </c>
    </row>
    <row r="64" spans="1:19" ht="16">
      <c r="A64" t="s">
        <v>120</v>
      </c>
      <c r="B64" t="s">
        <v>287</v>
      </c>
      <c r="C64" t="s">
        <v>80</v>
      </c>
      <c r="D64" t="s">
        <v>288</v>
      </c>
      <c r="E64" t="s">
        <v>74</v>
      </c>
      <c r="F64" t="s">
        <v>3</v>
      </c>
      <c r="G64" t="str">
        <f>HYPERLINK("https://www.facebook.com/groups/1785342108299314/posts/3443937249106450/?comment_id=3444186729081502&amp;reply_comment_id=3444254715741370")</f>
        <v>https://www.facebook.com/groups/1785342108299314/posts/3443937249106450/?comment_id=3444186729081502&amp;reply_comment_id=3444254715741370</v>
      </c>
      <c r="H64" t="s">
        <v>28</v>
      </c>
      <c r="I64" t="s">
        <v>289</v>
      </c>
      <c r="K64" t="str">
        <f>HYPERLINK("https://www.facebook.com/100080255356500")</f>
        <v>https://www.facebook.com/100080255356500</v>
      </c>
      <c r="M64" t="s">
        <v>40</v>
      </c>
      <c r="N64" t="s">
        <v>31</v>
      </c>
      <c r="O64" t="s">
        <v>290</v>
      </c>
      <c r="P64" t="str">
        <f t="shared" si="0" ref="P64:P70">HYPERLINK("https://www.facebook.com/1785342108299314")</f>
        <v>https://www.facebook.com/1785342108299314</v>
      </c>
      <c r="Q64">
        <v>13241</v>
      </c>
      <c r="R64" t="s">
        <v>32</v>
      </c>
      <c r="S64" t="s">
        <v>33</v>
      </c>
    </row>
    <row r="65" spans="1:19" ht="16">
      <c r="A65" t="s">
        <v>120</v>
      </c>
      <c r="B65" t="s">
        <v>291</v>
      </c>
      <c r="C65" t="s">
        <v>80</v>
      </c>
      <c r="D65" t="s">
        <v>292</v>
      </c>
      <c r="E65" t="s">
        <v>74</v>
      </c>
      <c r="F65" t="s">
        <v>3</v>
      </c>
      <c r="G65" t="str">
        <f>HYPERLINK("https://www.facebook.com/groups/1785342108299314/posts/3443937249106450/?comment_id=3444253019074873")</f>
        <v>https://www.facebook.com/groups/1785342108299314/posts/3443937249106450/?comment_id=3444253019074873</v>
      </c>
      <c r="H65" t="s">
        <v>28</v>
      </c>
      <c r="I65" t="s">
        <v>289</v>
      </c>
      <c r="K65" t="str">
        <f>HYPERLINK("https://www.facebook.com/100080255356500")</f>
        <v>https://www.facebook.com/100080255356500</v>
      </c>
      <c r="M65" t="s">
        <v>40</v>
      </c>
      <c r="N65" t="s">
        <v>31</v>
      </c>
      <c r="O65" t="s">
        <v>290</v>
      </c>
      <c r="P65" t="str">
        <f t="shared" si="0"/>
        <v>https://www.facebook.com/1785342108299314</v>
      </c>
      <c r="Q65">
        <v>13241</v>
      </c>
      <c r="R65" t="s">
        <v>32</v>
      </c>
      <c r="S65" t="s">
        <v>33</v>
      </c>
    </row>
    <row r="66" spans="1:22" ht="16">
      <c r="A66" t="s">
        <v>120</v>
      </c>
      <c r="B66" t="s">
        <v>293</v>
      </c>
      <c r="C66" t="s">
        <v>80</v>
      </c>
      <c r="D66" t="s">
        <v>294</v>
      </c>
      <c r="E66" t="s">
        <v>74</v>
      </c>
      <c r="F66" t="s">
        <v>3</v>
      </c>
      <c r="G66" t="str">
        <f>HYPERLINK("https://www.facebook.com/groups/1785342108299314/posts/3443937249106450/?comment_id=3444238285743013&amp;reply_comment_id=3444249132408595")</f>
        <v>https://www.facebook.com/groups/1785342108299314/posts/3443937249106450/?comment_id=3444238285743013&amp;reply_comment_id=3444249132408595</v>
      </c>
      <c r="H66" t="s">
        <v>28</v>
      </c>
      <c r="I66" t="s">
        <v>295</v>
      </c>
      <c r="K66" t="str">
        <f>HYPERLINK("https://www.facebook.com/100008807674973")</f>
        <v>https://www.facebook.com/100008807674973</v>
      </c>
      <c r="M66" t="s">
        <v>30</v>
      </c>
      <c r="N66" t="s">
        <v>31</v>
      </c>
      <c r="O66" t="s">
        <v>290</v>
      </c>
      <c r="P66" t="str">
        <f t="shared" si="0"/>
        <v>https://www.facebook.com/1785342108299314</v>
      </c>
      <c r="Q66">
        <v>13241</v>
      </c>
      <c r="R66" t="s">
        <v>32</v>
      </c>
      <c r="S66" t="s">
        <v>85</v>
      </c>
      <c r="T66" t="s">
        <v>34</v>
      </c>
      <c r="U66" t="s">
        <v>41</v>
      </c>
      <c r="V66" t="s">
        <v>296</v>
      </c>
    </row>
    <row r="67" spans="1:22" ht="16">
      <c r="A67" t="s">
        <v>120</v>
      </c>
      <c r="B67" t="s">
        <v>297</v>
      </c>
      <c r="C67" t="s">
        <v>80</v>
      </c>
      <c r="D67" t="s">
        <v>298</v>
      </c>
      <c r="E67" t="s">
        <v>74</v>
      </c>
      <c r="F67" t="s">
        <v>3</v>
      </c>
      <c r="G67" t="str">
        <f>HYPERLINK("https://www.facebook.com/groups/1785342108299314/posts/3443937249106450/?comment_id=3444242935742548")</f>
        <v>https://www.facebook.com/groups/1785342108299314/posts/3443937249106450/?comment_id=3444242935742548</v>
      </c>
      <c r="H67" t="s">
        <v>28</v>
      </c>
      <c r="I67" t="s">
        <v>299</v>
      </c>
      <c r="K67" t="str">
        <f>HYPERLINK("https://www.facebook.com/100002860993359")</f>
        <v>https://www.facebook.com/100002860993359</v>
      </c>
      <c r="M67" t="s">
        <v>30</v>
      </c>
      <c r="N67" t="s">
        <v>31</v>
      </c>
      <c r="O67" t="s">
        <v>290</v>
      </c>
      <c r="P67" t="str">
        <f t="shared" si="0"/>
        <v>https://www.facebook.com/1785342108299314</v>
      </c>
      <c r="Q67">
        <v>13241</v>
      </c>
      <c r="R67" t="s">
        <v>32</v>
      </c>
      <c r="S67" t="s">
        <v>85</v>
      </c>
      <c r="T67" t="s">
        <v>34</v>
      </c>
      <c r="U67" t="s">
        <v>35</v>
      </c>
      <c r="V67" t="s">
        <v>300</v>
      </c>
    </row>
    <row r="68" spans="1:22" ht="16">
      <c r="A68" t="s">
        <v>120</v>
      </c>
      <c r="B68" t="s">
        <v>301</v>
      </c>
      <c r="C68" t="s">
        <v>80</v>
      </c>
      <c r="D68" t="s">
        <v>302</v>
      </c>
      <c r="E68" t="s">
        <v>74</v>
      </c>
      <c r="F68" t="s">
        <v>3</v>
      </c>
      <c r="G68" t="str">
        <f>HYPERLINK("https://www.facebook.com/groups/1785342108299314/posts/3443937249106450/?comment_id=3444238952409613")</f>
        <v>https://www.facebook.com/groups/1785342108299314/posts/3443937249106450/?comment_id=3444238952409613</v>
      </c>
      <c r="H68" t="s">
        <v>28</v>
      </c>
      <c r="I68" t="s">
        <v>303</v>
      </c>
      <c r="K68" t="str">
        <f>HYPERLINK("https://www.facebook.com/pfbid0LQvAqmzMdkogTqn2X7GmABjwG79XUR1SVJvnEwzE7vsF8Pad377Xpjv41HzqfHYQl")</f>
        <v>https://www.facebook.com/pfbid0LQvAqmzMdkogTqn2X7GmABjwG79XUR1SVJvnEwzE7vsF8Pad377Xpjv41HzqfHYQl</v>
      </c>
      <c r="M68" t="s">
        <v>30</v>
      </c>
      <c r="N68" t="s">
        <v>31</v>
      </c>
      <c r="O68" t="s">
        <v>290</v>
      </c>
      <c r="P68" t="str">
        <f t="shared" si="0"/>
        <v>https://www.facebook.com/1785342108299314</v>
      </c>
      <c r="Q68">
        <v>13241</v>
      </c>
      <c r="R68" t="s">
        <v>32</v>
      </c>
      <c r="S68" t="s">
        <v>33</v>
      </c>
      <c r="T68" t="s">
        <v>34</v>
      </c>
      <c r="U68" t="s">
        <v>304</v>
      </c>
      <c r="V68" t="s">
        <v>305</v>
      </c>
    </row>
    <row r="69" spans="1:22" ht="16">
      <c r="A69" t="s">
        <v>120</v>
      </c>
      <c r="B69" t="s">
        <v>306</v>
      </c>
      <c r="C69" t="s">
        <v>80</v>
      </c>
      <c r="D69" t="s">
        <v>307</v>
      </c>
      <c r="E69" t="s">
        <v>74</v>
      </c>
      <c r="F69" t="s">
        <v>3</v>
      </c>
      <c r="G69" t="str">
        <f>HYPERLINK("https://www.facebook.com/groups/1785342108299314/posts/3443937249106450/?comment_id=3444238285743013")</f>
        <v>https://www.facebook.com/groups/1785342108299314/posts/3443937249106450/?comment_id=3444238285743013</v>
      </c>
      <c r="H69" t="s">
        <v>28</v>
      </c>
      <c r="I69" t="s">
        <v>308</v>
      </c>
      <c r="K69" t="str">
        <f>HYPERLINK("https://www.facebook.com/100069676277973")</f>
        <v>https://www.facebook.com/100069676277973</v>
      </c>
      <c r="M69" t="s">
        <v>40</v>
      </c>
      <c r="N69" t="s">
        <v>31</v>
      </c>
      <c r="O69" t="s">
        <v>290</v>
      </c>
      <c r="P69" t="str">
        <f t="shared" si="0"/>
        <v>https://www.facebook.com/1785342108299314</v>
      </c>
      <c r="Q69">
        <v>13241</v>
      </c>
      <c r="R69" t="s">
        <v>32</v>
      </c>
      <c r="S69" t="s">
        <v>33</v>
      </c>
      <c r="T69" t="s">
        <v>34</v>
      </c>
      <c r="U69" t="s">
        <v>309</v>
      </c>
      <c r="V69" t="s">
        <v>310</v>
      </c>
    </row>
    <row r="70" spans="1:19" ht="16">
      <c r="A70" t="s">
        <v>120</v>
      </c>
      <c r="B70" t="s">
        <v>311</v>
      </c>
      <c r="C70" t="s">
        <v>80</v>
      </c>
      <c r="D70" t="s">
        <v>312</v>
      </c>
      <c r="E70" t="s">
        <v>74</v>
      </c>
      <c r="F70" t="s">
        <v>3</v>
      </c>
      <c r="G70" t="str">
        <f>HYPERLINK("https://www.facebook.com/groups/1785342108299314/posts/3443937249106450/?comment_id=3444234039076771")</f>
        <v>https://www.facebook.com/groups/1785342108299314/posts/3443937249106450/?comment_id=3444234039076771</v>
      </c>
      <c r="H70" t="s">
        <v>28</v>
      </c>
      <c r="I70" t="s">
        <v>313</v>
      </c>
      <c r="K70" t="str">
        <f>HYPERLINK("https://www.facebook.com/pfbid02gz37wwD6UkLAMN6uJdLa4mBvrXgkWf1FbMxiB2iJUqmCTvtpLf4UcycrQwgQn8M2l")</f>
        <v>https://www.facebook.com/pfbid02gz37wwD6UkLAMN6uJdLa4mBvrXgkWf1FbMxiB2iJUqmCTvtpLf4UcycrQwgQn8M2l</v>
      </c>
      <c r="M70" t="s">
        <v>30</v>
      </c>
      <c r="N70" t="s">
        <v>31</v>
      </c>
      <c r="O70" t="s">
        <v>290</v>
      </c>
      <c r="P70" t="str">
        <f t="shared" si="0"/>
        <v>https://www.facebook.com/1785342108299314</v>
      </c>
      <c r="Q70">
        <v>13241</v>
      </c>
      <c r="R70" t="s">
        <v>32</v>
      </c>
      <c r="S70" t="s">
        <v>85</v>
      </c>
    </row>
    <row r="71" spans="1:22" ht="16">
      <c r="A71" t="s">
        <v>120</v>
      </c>
      <c r="B71" t="s">
        <v>314</v>
      </c>
      <c r="C71" t="s">
        <v>24</v>
      </c>
      <c r="D71" t="s">
        <v>165</v>
      </c>
      <c r="E71" t="s">
        <v>45</v>
      </c>
      <c r="F71" t="s">
        <v>46</v>
      </c>
      <c r="G71" t="str">
        <f>HYPERLINK("https://www.facebook.com/1459275209052032")</f>
        <v>https://www.facebook.com/1459275209052032</v>
      </c>
      <c r="H71" t="s">
        <v>28</v>
      </c>
      <c r="I71" t="s">
        <v>315</v>
      </c>
      <c r="J71" t="s">
        <v>316</v>
      </c>
      <c r="K71" t="str">
        <f>HYPERLINK("https://www.facebook.com/100049087004012")</f>
        <v>https://www.facebook.com/100049087004012</v>
      </c>
      <c r="M71" t="s">
        <v>40</v>
      </c>
      <c r="N71" t="s">
        <v>31</v>
      </c>
      <c r="O71" t="s">
        <v>315</v>
      </c>
      <c r="P71" t="str">
        <f>HYPERLINK("https://www.facebook.com/100049087004012")</f>
        <v>https://www.facebook.com/100049087004012</v>
      </c>
      <c r="R71" t="s">
        <v>32</v>
      </c>
      <c r="S71" t="s">
        <v>33</v>
      </c>
      <c r="T71" t="s">
        <v>62</v>
      </c>
      <c r="U71" t="s">
        <v>317</v>
      </c>
      <c r="V71" t="s">
        <v>318</v>
      </c>
    </row>
    <row r="72" spans="1:22" ht="16">
      <c r="A72" t="s">
        <v>120</v>
      </c>
      <c r="B72" t="s">
        <v>319</v>
      </c>
      <c r="C72" t="s">
        <v>72</v>
      </c>
      <c r="D72" t="s">
        <v>320</v>
      </c>
      <c r="E72" t="s">
        <v>74</v>
      </c>
      <c r="F72" t="s">
        <v>3</v>
      </c>
      <c r="G72" t="str">
        <f>HYPERLINK("https://www.facebook.com/permalink.php?story_fbid=pfbid022EiDACdienKpjPECyX349BaVUSYZJn3ACWNGRCFbfhcrL4SL4Kmz7CmKJrKfz1J4l&amp;id=100009468959379&amp;comment_id=1398416271597509")</f>
        <v>https://www.facebook.com/permalink.php?story_fbid=pfbid022EiDACdienKpjPECyX349BaVUSYZJn3ACWNGRCFbfhcrL4SL4Kmz7CmKJrKfz1J4l&amp;id=100009468959379&amp;comment_id=1398416271597509</v>
      </c>
      <c r="H72" t="s">
        <v>28</v>
      </c>
      <c r="I72" t="s">
        <v>321</v>
      </c>
      <c r="J72" t="s">
        <v>322</v>
      </c>
      <c r="K72" t="str">
        <f>HYPERLINK("https://www.facebook.com/100001149288651")</f>
        <v>https://www.facebook.com/100001149288651</v>
      </c>
      <c r="M72" t="s">
        <v>30</v>
      </c>
      <c r="N72" t="s">
        <v>31</v>
      </c>
      <c r="O72" t="s">
        <v>76</v>
      </c>
      <c r="P72" t="str">
        <f>HYPERLINK("https://www.facebook.com/100009468959379")</f>
        <v>https://www.facebook.com/100009468959379</v>
      </c>
      <c r="R72" t="s">
        <v>32</v>
      </c>
      <c r="S72" t="s">
        <v>33</v>
      </c>
      <c r="T72" t="s">
        <v>192</v>
      </c>
      <c r="U72" t="s">
        <v>193</v>
      </c>
      <c r="V72" t="s">
        <v>221</v>
      </c>
    </row>
    <row r="73" spans="1:22" ht="16">
      <c r="A73" t="s">
        <v>120</v>
      </c>
      <c r="B73" t="s">
        <v>323</v>
      </c>
      <c r="C73" t="s">
        <v>72</v>
      </c>
      <c r="D73" t="s">
        <v>324</v>
      </c>
      <c r="E73" t="s">
        <v>74</v>
      </c>
      <c r="F73" t="s">
        <v>3</v>
      </c>
      <c r="G73" t="str">
        <f>HYPERLINK("https://www.facebook.com/permalink.php?story_fbid=pfbid022EiDACdienKpjPECyX349BaVUSYZJn3ACWNGRCFbfhcrL4SL4Kmz7CmKJrKfz1J4l&amp;id=100009468959379&amp;comment_id=1275827351127740")</f>
        <v>https://www.facebook.com/permalink.php?story_fbid=pfbid022EiDACdienKpjPECyX349BaVUSYZJn3ACWNGRCFbfhcrL4SL4Kmz7CmKJrKfz1J4l&amp;id=100009468959379&amp;comment_id=1275827351127740</v>
      </c>
      <c r="H73" t="s">
        <v>28</v>
      </c>
      <c r="I73" t="s">
        <v>227</v>
      </c>
      <c r="J73" t="s">
        <v>228</v>
      </c>
      <c r="K73" t="str">
        <f>HYPERLINK("https://www.facebook.com/100008709243525")</f>
        <v>https://www.facebook.com/100008709243525</v>
      </c>
      <c r="M73" t="s">
        <v>30</v>
      </c>
      <c r="N73" t="s">
        <v>31</v>
      </c>
      <c r="O73" t="s">
        <v>76</v>
      </c>
      <c r="P73" t="str">
        <f>HYPERLINK("https://www.facebook.com/100009468959379")</f>
        <v>https://www.facebook.com/100009468959379</v>
      </c>
      <c r="R73" t="s">
        <v>32</v>
      </c>
      <c r="S73" t="s">
        <v>33</v>
      </c>
      <c r="T73" t="s">
        <v>34</v>
      </c>
      <c r="U73" t="s">
        <v>41</v>
      </c>
      <c r="V73" t="s">
        <v>42</v>
      </c>
    </row>
    <row r="74" spans="1:22" ht="16">
      <c r="A74" t="s">
        <v>120</v>
      </c>
      <c r="B74" t="s">
        <v>325</v>
      </c>
      <c r="C74" t="s">
        <v>80</v>
      </c>
      <c r="D74" t="s">
        <v>326</v>
      </c>
      <c r="E74" t="s">
        <v>74</v>
      </c>
      <c r="F74" t="s">
        <v>3</v>
      </c>
      <c r="G74" t="str">
        <f>HYPERLINK("https://www.facebook.com/groups/1785342108299314/posts/3443937249106450/?comment_id=3444137709086404&amp;reply_comment_id=3444213779078797")</f>
        <v>https://www.facebook.com/groups/1785342108299314/posts/3443937249106450/?comment_id=3444137709086404&amp;reply_comment_id=3444213779078797</v>
      </c>
      <c r="H74" t="s">
        <v>28</v>
      </c>
      <c r="I74" t="s">
        <v>327</v>
      </c>
      <c r="J74" t="s">
        <v>328</v>
      </c>
      <c r="K74" t="str">
        <f>HYPERLINK("https://www.facebook.com/100003606574661")</f>
        <v>https://www.facebook.com/100003606574661</v>
      </c>
      <c r="M74" t="s">
        <v>40</v>
      </c>
      <c r="N74" t="s">
        <v>31</v>
      </c>
      <c r="O74" t="s">
        <v>290</v>
      </c>
      <c r="P74" t="str">
        <f>HYPERLINK("https://www.facebook.com/1785342108299314")</f>
        <v>https://www.facebook.com/1785342108299314</v>
      </c>
      <c r="Q74">
        <v>13241</v>
      </c>
      <c r="R74" t="s">
        <v>32</v>
      </c>
      <c r="S74" t="s">
        <v>33</v>
      </c>
      <c r="T74" t="s">
        <v>34</v>
      </c>
      <c r="U74" t="s">
        <v>158</v>
      </c>
      <c r="V74" t="s">
        <v>159</v>
      </c>
    </row>
    <row r="75" spans="1:19" ht="16">
      <c r="A75" t="s">
        <v>120</v>
      </c>
      <c r="B75" t="s">
        <v>329</v>
      </c>
      <c r="C75" t="s">
        <v>80</v>
      </c>
      <c r="D75" t="s">
        <v>330</v>
      </c>
      <c r="E75" t="s">
        <v>74</v>
      </c>
      <c r="F75" t="s">
        <v>3</v>
      </c>
      <c r="G75" t="str">
        <f>HYPERLINK("https://www.facebook.com/groups/1785342108299314/posts/3443937249106450/?comment_id=3444213112412197")</f>
        <v>https://www.facebook.com/groups/1785342108299314/posts/3443937249106450/?comment_id=3444213112412197</v>
      </c>
      <c r="H75" t="s">
        <v>28</v>
      </c>
      <c r="I75" t="s">
        <v>331</v>
      </c>
      <c r="K75" t="str">
        <f>HYPERLINK("https://www.facebook.com/100023805264055")</f>
        <v>https://www.facebook.com/100023805264055</v>
      </c>
      <c r="L75">
        <v>113</v>
      </c>
      <c r="M75" t="s">
        <v>30</v>
      </c>
      <c r="N75" t="s">
        <v>31</v>
      </c>
      <c r="O75" t="s">
        <v>290</v>
      </c>
      <c r="P75" t="str">
        <f>HYPERLINK("https://www.facebook.com/1785342108299314")</f>
        <v>https://www.facebook.com/1785342108299314</v>
      </c>
      <c r="Q75">
        <v>13241</v>
      </c>
      <c r="R75" t="s">
        <v>32</v>
      </c>
      <c r="S75" t="s">
        <v>85</v>
      </c>
    </row>
    <row r="76" spans="1:19" ht="16">
      <c r="A76" t="s">
        <v>120</v>
      </c>
      <c r="B76" t="s">
        <v>332</v>
      </c>
      <c r="C76" t="s">
        <v>80</v>
      </c>
      <c r="D76" t="s">
        <v>333</v>
      </c>
      <c r="E76" t="s">
        <v>74</v>
      </c>
      <c r="F76" t="s">
        <v>3</v>
      </c>
      <c r="G76" t="str">
        <f>HYPERLINK("https://www.facebook.com/groups/1785342108299314/posts/3443937249106450/?comment_id=3444186729081502&amp;reply_comment_id=3444212509078924")</f>
        <v>https://www.facebook.com/groups/1785342108299314/posts/3443937249106450/?comment_id=3444186729081502&amp;reply_comment_id=3444212509078924</v>
      </c>
      <c r="H76" t="s">
        <v>28</v>
      </c>
      <c r="I76" t="s">
        <v>334</v>
      </c>
      <c r="K76" t="str">
        <f>HYPERLINK("https://www.facebook.com/61556847849731")</f>
        <v>https://www.facebook.com/61556847849731</v>
      </c>
      <c r="M76" t="s">
        <v>30</v>
      </c>
      <c r="N76" t="s">
        <v>31</v>
      </c>
      <c r="O76" t="s">
        <v>290</v>
      </c>
      <c r="P76" t="str">
        <f>HYPERLINK("https://www.facebook.com/1785342108299314")</f>
        <v>https://www.facebook.com/1785342108299314</v>
      </c>
      <c r="Q76">
        <v>13241</v>
      </c>
      <c r="R76" t="s">
        <v>32</v>
      </c>
      <c r="S76" t="s">
        <v>85</v>
      </c>
    </row>
    <row r="77" spans="1:19" ht="16">
      <c r="A77" t="s">
        <v>120</v>
      </c>
      <c r="B77" t="s">
        <v>332</v>
      </c>
      <c r="C77" t="s">
        <v>72</v>
      </c>
      <c r="D77" t="s">
        <v>335</v>
      </c>
      <c r="E77" t="s">
        <v>74</v>
      </c>
      <c r="F77" t="s">
        <v>3</v>
      </c>
      <c r="G77" t="str">
        <f>HYPERLINK("https://www.facebook.com/permalink.php?story_fbid=pfbid022EiDACdienKpjPECyX349BaVUSYZJn3ACWNGRCFbfhcrL4SL4Kmz7CmKJrKfz1J4l&amp;id=100009468959379&amp;comment_id=2002404607285638")</f>
        <v>https://www.facebook.com/permalink.php?story_fbid=pfbid022EiDACdienKpjPECyX349BaVUSYZJn3ACWNGRCFbfhcrL4SL4Kmz7CmKJrKfz1J4l&amp;id=100009468959379&amp;comment_id=2002404607285638</v>
      </c>
      <c r="H77" t="s">
        <v>28</v>
      </c>
      <c r="I77" t="s">
        <v>336</v>
      </c>
      <c r="J77" t="s">
        <v>337</v>
      </c>
      <c r="K77" t="str">
        <f>HYPERLINK("https://www.facebook.com/100002333734228")</f>
        <v>https://www.facebook.com/100002333734228</v>
      </c>
      <c r="M77" t="s">
        <v>30</v>
      </c>
      <c r="N77" t="s">
        <v>31</v>
      </c>
      <c r="O77" t="s">
        <v>76</v>
      </c>
      <c r="P77" t="str">
        <f>HYPERLINK("https://www.facebook.com/100009468959379")</f>
        <v>https://www.facebook.com/100009468959379</v>
      </c>
      <c r="R77" t="s">
        <v>32</v>
      </c>
      <c r="S77" t="s">
        <v>85</v>
      </c>
    </row>
    <row r="78" spans="1:19" ht="16">
      <c r="A78" t="s">
        <v>120</v>
      </c>
      <c r="B78" t="s">
        <v>338</v>
      </c>
      <c r="C78" t="s">
        <v>80</v>
      </c>
      <c r="D78" t="s">
        <v>339</v>
      </c>
      <c r="E78" t="s">
        <v>74</v>
      </c>
      <c r="F78" t="s">
        <v>3</v>
      </c>
      <c r="G78" t="str">
        <f>HYPERLINK("https://www.facebook.com/groups/1785342108299314/posts/3443937249106450/?comment_id=3444206795746162")</f>
        <v>https://www.facebook.com/groups/1785342108299314/posts/3443937249106450/?comment_id=3444206795746162</v>
      </c>
      <c r="H78" t="s">
        <v>28</v>
      </c>
      <c r="I78" t="s">
        <v>340</v>
      </c>
      <c r="K78" t="str">
        <f>HYPERLINK("https://www.facebook.com/100041737727343")</f>
        <v>https://www.facebook.com/100041737727343</v>
      </c>
      <c r="M78" t="s">
        <v>30</v>
      </c>
      <c r="N78" t="s">
        <v>31</v>
      </c>
      <c r="O78" t="s">
        <v>290</v>
      </c>
      <c r="P78" t="str">
        <f>HYPERLINK("https://www.facebook.com/1785342108299314")</f>
        <v>https://www.facebook.com/1785342108299314</v>
      </c>
      <c r="Q78">
        <v>13241</v>
      </c>
      <c r="R78" t="s">
        <v>32</v>
      </c>
      <c r="S78" t="s">
        <v>85</v>
      </c>
    </row>
    <row r="79" spans="1:19" ht="16">
      <c r="A79" t="s">
        <v>120</v>
      </c>
      <c r="B79" t="s">
        <v>338</v>
      </c>
      <c r="C79" t="s">
        <v>24</v>
      </c>
      <c r="D79" t="s">
        <v>341</v>
      </c>
      <c r="E79" t="s">
        <v>26</v>
      </c>
      <c r="F79" t="s">
        <v>342</v>
      </c>
      <c r="G79" t="str">
        <f>HYPERLINK("https://telegram.me/khunta_info/143313")</f>
        <v>https://telegram.me/khunta_info/143313</v>
      </c>
      <c r="H79" t="s">
        <v>28</v>
      </c>
      <c r="I79" t="s">
        <v>343</v>
      </c>
      <c r="J79" t="s">
        <v>344</v>
      </c>
      <c r="K79" t="str">
        <f>HYPERLINK("https://telegram.me/khunta_info")</f>
        <v>https://telegram.me/khunta_info</v>
      </c>
      <c r="L79">
        <v>152</v>
      </c>
      <c r="M79" t="s">
        <v>345</v>
      </c>
      <c r="N79" t="s">
        <v>346</v>
      </c>
      <c r="O79" t="s">
        <v>343</v>
      </c>
      <c r="P79" t="str">
        <f>HYPERLINK("https://telegram.me/khunta_info")</f>
        <v>https://telegram.me/khunta_info</v>
      </c>
      <c r="Q79">
        <v>152</v>
      </c>
      <c r="R79" t="s">
        <v>347</v>
      </c>
      <c r="S79" t="s">
        <v>33</v>
      </c>
    </row>
    <row r="80" spans="1:19" ht="16">
      <c r="A80" t="s">
        <v>120</v>
      </c>
      <c r="B80" t="s">
        <v>348</v>
      </c>
      <c r="C80" t="s">
        <v>80</v>
      </c>
      <c r="D80" t="s">
        <v>349</v>
      </c>
      <c r="E80" t="s">
        <v>74</v>
      </c>
      <c r="F80" t="s">
        <v>3</v>
      </c>
      <c r="G80" t="str">
        <f>HYPERLINK("https://www.facebook.com/groups/1785342108299314/posts/3443937249106450/?comment_id=3444186729081502&amp;reply_comment_id=3444204972413011")</f>
        <v>https://www.facebook.com/groups/1785342108299314/posts/3443937249106450/?comment_id=3444186729081502&amp;reply_comment_id=3444204972413011</v>
      </c>
      <c r="H80" t="s">
        <v>28</v>
      </c>
      <c r="I80" t="s">
        <v>350</v>
      </c>
      <c r="K80" t="str">
        <f>HYPERLINK("https://www.facebook.com/100057282883345")</f>
        <v>https://www.facebook.com/100057282883345</v>
      </c>
      <c r="M80" t="s">
        <v>30</v>
      </c>
      <c r="N80" t="s">
        <v>31</v>
      </c>
      <c r="O80" t="s">
        <v>290</v>
      </c>
      <c r="P80" t="str">
        <f>HYPERLINK("https://www.facebook.com/1785342108299314")</f>
        <v>https://www.facebook.com/1785342108299314</v>
      </c>
      <c r="Q80">
        <v>13241</v>
      </c>
      <c r="R80" t="s">
        <v>32</v>
      </c>
      <c r="S80" t="s">
        <v>85</v>
      </c>
    </row>
    <row r="81" spans="1:19" ht="16">
      <c r="A81" t="s">
        <v>120</v>
      </c>
      <c r="B81" t="s">
        <v>348</v>
      </c>
      <c r="C81" t="s">
        <v>80</v>
      </c>
      <c r="D81" t="s">
        <v>351</v>
      </c>
      <c r="E81" t="s">
        <v>74</v>
      </c>
      <c r="F81" t="s">
        <v>3</v>
      </c>
      <c r="G81" t="str">
        <f>HYPERLINK("https://www.facebook.com/groups/1785342108299314/posts/3443937249106450/?comment_id=3444204892413019")</f>
        <v>https://www.facebook.com/groups/1785342108299314/posts/3443937249106450/?comment_id=3444204892413019</v>
      </c>
      <c r="H81" t="s">
        <v>28</v>
      </c>
      <c r="I81" t="s">
        <v>352</v>
      </c>
      <c r="K81" t="str">
        <f>HYPERLINK("https://www.facebook.com/100029283941826")</f>
        <v>https://www.facebook.com/100029283941826</v>
      </c>
      <c r="M81" t="s">
        <v>30</v>
      </c>
      <c r="N81" t="s">
        <v>31</v>
      </c>
      <c r="O81" t="s">
        <v>290</v>
      </c>
      <c r="P81" t="str">
        <f>HYPERLINK("https://www.facebook.com/1785342108299314")</f>
        <v>https://www.facebook.com/1785342108299314</v>
      </c>
      <c r="Q81">
        <v>13241</v>
      </c>
      <c r="R81" t="s">
        <v>32</v>
      </c>
      <c r="S81" t="s">
        <v>33</v>
      </c>
    </row>
    <row r="82" spans="1:22" ht="16">
      <c r="A82" t="s">
        <v>120</v>
      </c>
      <c r="B82" t="s">
        <v>353</v>
      </c>
      <c r="C82" t="s">
        <v>354</v>
      </c>
      <c r="D82" t="s">
        <v>355</v>
      </c>
      <c r="E82" t="s">
        <v>74</v>
      </c>
      <c r="F82" t="s">
        <v>3</v>
      </c>
      <c r="G82" t="str">
        <f>HYPERLINK("https://www.facebook.com/sofia.guralenkomikhailyuk/posts/pfbid0Tnur42o7uvz9dp9yr4JMMbLKSceAGXjmwjYcabHK8H55GMQ6MHXQg2TTVASTLrCsl?comment_id=809234264807807")</f>
        <v>https://www.facebook.com/sofia.guralenkomikhailyuk/posts/pfbid0Tnur42o7uvz9dp9yr4JMMbLKSceAGXjmwjYcabHK8H55GMQ6MHXQg2TTVASTLrCsl?comment_id=809234264807807</v>
      </c>
      <c r="H82" t="s">
        <v>28</v>
      </c>
      <c r="I82" t="s">
        <v>356</v>
      </c>
      <c r="K82" t="str">
        <f>HYPERLINK("https://www.facebook.com/100066410540944")</f>
        <v>https://www.facebook.com/100066410540944</v>
      </c>
      <c r="M82" t="s">
        <v>30</v>
      </c>
      <c r="N82" t="s">
        <v>31</v>
      </c>
      <c r="O82" t="s">
        <v>357</v>
      </c>
      <c r="P82" t="str">
        <f>HYPERLINK("https://www.facebook.com/100024497710338")</f>
        <v>https://www.facebook.com/100024497710338</v>
      </c>
      <c r="R82" t="s">
        <v>32</v>
      </c>
      <c r="S82" t="s">
        <v>85</v>
      </c>
      <c r="T82" t="s">
        <v>34</v>
      </c>
      <c r="U82" t="s">
        <v>158</v>
      </c>
      <c r="V82" t="s">
        <v>159</v>
      </c>
    </row>
    <row r="83" spans="1:22" ht="16">
      <c r="A83" t="s">
        <v>120</v>
      </c>
      <c r="B83" t="s">
        <v>358</v>
      </c>
      <c r="C83" t="s">
        <v>80</v>
      </c>
      <c r="D83" t="s">
        <v>359</v>
      </c>
      <c r="E83" t="s">
        <v>74</v>
      </c>
      <c r="F83" t="s">
        <v>3</v>
      </c>
      <c r="G83" t="str">
        <f>HYPERLINK("https://www.facebook.com/groups/1785342108299314/posts/3443937249106450/?comment_id=3444200702413438")</f>
        <v>https://www.facebook.com/groups/1785342108299314/posts/3443937249106450/?comment_id=3444200702413438</v>
      </c>
      <c r="H83" t="s">
        <v>28</v>
      </c>
      <c r="I83" t="s">
        <v>360</v>
      </c>
      <c r="K83" t="str">
        <f>HYPERLINK("https://www.facebook.com/100086961216482")</f>
        <v>https://www.facebook.com/100086961216482</v>
      </c>
      <c r="M83" t="s">
        <v>30</v>
      </c>
      <c r="N83" t="s">
        <v>31</v>
      </c>
      <c r="O83" t="s">
        <v>290</v>
      </c>
      <c r="P83" t="str">
        <f>HYPERLINK("https://www.facebook.com/1785342108299314")</f>
        <v>https://www.facebook.com/1785342108299314</v>
      </c>
      <c r="Q83">
        <v>13241</v>
      </c>
      <c r="R83" t="s">
        <v>32</v>
      </c>
      <c r="S83" t="s">
        <v>33</v>
      </c>
      <c r="T83" t="s">
        <v>34</v>
      </c>
      <c r="U83" t="s">
        <v>173</v>
      </c>
      <c r="V83" t="s">
        <v>361</v>
      </c>
    </row>
    <row r="84" spans="1:22" ht="16">
      <c r="A84" t="s">
        <v>120</v>
      </c>
      <c r="B84" t="s">
        <v>362</v>
      </c>
      <c r="C84" t="s">
        <v>80</v>
      </c>
      <c r="D84" t="s">
        <v>363</v>
      </c>
      <c r="E84" t="s">
        <v>74</v>
      </c>
      <c r="F84" t="s">
        <v>3</v>
      </c>
      <c r="G84" t="str">
        <f>HYPERLINK("https://www.facebook.com/groups/1785342108299314/posts/3443937249106450/?comment_id=3444199129080262")</f>
        <v>https://www.facebook.com/groups/1785342108299314/posts/3443937249106450/?comment_id=3444199129080262</v>
      </c>
      <c r="H84" t="s">
        <v>28</v>
      </c>
      <c r="I84" t="s">
        <v>364</v>
      </c>
      <c r="J84" t="s">
        <v>365</v>
      </c>
      <c r="K84" t="str">
        <f>HYPERLINK("https://www.facebook.com/100009972006028")</f>
        <v>https://www.facebook.com/100009972006028</v>
      </c>
      <c r="L84">
        <v>27</v>
      </c>
      <c r="M84" t="s">
        <v>30</v>
      </c>
      <c r="N84" t="s">
        <v>31</v>
      </c>
      <c r="O84" t="s">
        <v>290</v>
      </c>
      <c r="P84" t="str">
        <f>HYPERLINK("https://www.facebook.com/1785342108299314")</f>
        <v>https://www.facebook.com/1785342108299314</v>
      </c>
      <c r="Q84">
        <v>13241</v>
      </c>
      <c r="R84" t="s">
        <v>32</v>
      </c>
      <c r="S84" t="s">
        <v>33</v>
      </c>
      <c r="T84" t="s">
        <v>240</v>
      </c>
      <c r="U84" t="s">
        <v>366</v>
      </c>
      <c r="V84" t="s">
        <v>367</v>
      </c>
    </row>
    <row r="85" spans="1:22" ht="16">
      <c r="A85" t="s">
        <v>120</v>
      </c>
      <c r="B85" t="s">
        <v>368</v>
      </c>
      <c r="C85" t="s">
        <v>80</v>
      </c>
      <c r="D85" t="s">
        <v>369</v>
      </c>
      <c r="E85" t="s">
        <v>74</v>
      </c>
      <c r="F85" t="s">
        <v>3</v>
      </c>
      <c r="G85" t="str">
        <f>HYPERLINK("https://www.facebook.com/groups/1785342108299314/posts/3443937249106450/?comment_id=3444194572414051")</f>
        <v>https://www.facebook.com/groups/1785342108299314/posts/3443937249106450/?comment_id=3444194572414051</v>
      </c>
      <c r="H85" t="s">
        <v>28</v>
      </c>
      <c r="I85" t="s">
        <v>370</v>
      </c>
      <c r="K85" t="str">
        <f>HYPERLINK("https://www.facebook.com/100023779050577")</f>
        <v>https://www.facebook.com/100023779050577</v>
      </c>
      <c r="M85" t="s">
        <v>40</v>
      </c>
      <c r="N85" t="s">
        <v>31</v>
      </c>
      <c r="O85" t="s">
        <v>290</v>
      </c>
      <c r="P85" t="str">
        <f>HYPERLINK("https://www.facebook.com/1785342108299314")</f>
        <v>https://www.facebook.com/1785342108299314</v>
      </c>
      <c r="Q85">
        <v>13241</v>
      </c>
      <c r="R85" t="s">
        <v>32</v>
      </c>
      <c r="S85" t="s">
        <v>33</v>
      </c>
      <c r="T85" t="s">
        <v>34</v>
      </c>
      <c r="U85" t="s">
        <v>371</v>
      </c>
      <c r="V85" t="s">
        <v>372</v>
      </c>
    </row>
    <row r="86" spans="1:20" ht="16">
      <c r="A86" t="s">
        <v>120</v>
      </c>
      <c r="B86" t="s">
        <v>373</v>
      </c>
      <c r="C86" t="s">
        <v>24</v>
      </c>
      <c r="D86" t="s">
        <v>275</v>
      </c>
      <c r="E86" t="s">
        <v>45</v>
      </c>
      <c r="F86" t="s">
        <v>3</v>
      </c>
      <c r="G86" t="str">
        <f>HYPERLINK("https://twitter.com/ludmila1348/status/2028120449519915229")</f>
        <v>https://twitter.com/ludmila1348/status/2028120449519915229</v>
      </c>
      <c r="H86" t="s">
        <v>28</v>
      </c>
      <c r="I86" t="s">
        <v>374</v>
      </c>
      <c r="J86" t="s">
        <v>375</v>
      </c>
      <c r="K86" t="str">
        <f>HYPERLINK("http://twitter.com/ludmila1348")</f>
        <v>http://twitter.com/ludmila1348</v>
      </c>
      <c r="L86">
        <v>4582</v>
      </c>
      <c r="M86" t="s">
        <v>30</v>
      </c>
      <c r="N86" t="s">
        <v>278</v>
      </c>
      <c r="R86" t="s">
        <v>32</v>
      </c>
      <c r="S86" t="s">
        <v>33</v>
      </c>
      <c r="T86" t="s">
        <v>34</v>
      </c>
    </row>
    <row r="87" spans="1:19" ht="16">
      <c r="A87" t="s">
        <v>120</v>
      </c>
      <c r="B87" t="s">
        <v>376</v>
      </c>
      <c r="C87" t="s">
        <v>80</v>
      </c>
      <c r="D87" t="s">
        <v>377</v>
      </c>
      <c r="E87" t="s">
        <v>74</v>
      </c>
      <c r="F87" t="s">
        <v>3</v>
      </c>
      <c r="G87" t="str">
        <f>HYPERLINK("https://www.facebook.com/groups/1785342108299314/posts/3443937249106450/?comment_id=3444186729081502")</f>
        <v>https://www.facebook.com/groups/1785342108299314/posts/3443937249106450/?comment_id=3444186729081502</v>
      </c>
      <c r="H87" t="s">
        <v>28</v>
      </c>
      <c r="I87" t="s">
        <v>334</v>
      </c>
      <c r="K87" t="str">
        <f>HYPERLINK("https://www.facebook.com/61556847849731")</f>
        <v>https://www.facebook.com/61556847849731</v>
      </c>
      <c r="M87" t="s">
        <v>30</v>
      </c>
      <c r="N87" t="s">
        <v>31</v>
      </c>
      <c r="O87" t="s">
        <v>290</v>
      </c>
      <c r="P87" t="str">
        <f>HYPERLINK("https://www.facebook.com/1785342108299314")</f>
        <v>https://www.facebook.com/1785342108299314</v>
      </c>
      <c r="Q87">
        <v>13241</v>
      </c>
      <c r="R87" t="s">
        <v>32</v>
      </c>
      <c r="S87" t="s">
        <v>33</v>
      </c>
    </row>
    <row r="88" spans="1:19" ht="16">
      <c r="A88" t="s">
        <v>120</v>
      </c>
      <c r="B88" t="s">
        <v>378</v>
      </c>
      <c r="C88" t="s">
        <v>80</v>
      </c>
      <c r="D88" t="s">
        <v>379</v>
      </c>
      <c r="E88" t="s">
        <v>74</v>
      </c>
      <c r="F88" t="s">
        <v>3</v>
      </c>
      <c r="G88" t="str">
        <f>HYPERLINK("https://www.facebook.com/groups/1785342108299314/posts/3443937249106450/?comment_id=3444150085751833&amp;reply_comment_id=3444185065748335")</f>
        <v>https://www.facebook.com/groups/1785342108299314/posts/3443937249106450/?comment_id=3444150085751833&amp;reply_comment_id=3444185065748335</v>
      </c>
      <c r="H88" t="s">
        <v>28</v>
      </c>
      <c r="I88" t="s">
        <v>380</v>
      </c>
      <c r="K88" t="str">
        <f>HYPERLINK("https://www.facebook.com/100014807656064")</f>
        <v>https://www.facebook.com/100014807656064</v>
      </c>
      <c r="M88" t="s">
        <v>40</v>
      </c>
      <c r="N88" t="s">
        <v>31</v>
      </c>
      <c r="O88" t="s">
        <v>290</v>
      </c>
      <c r="P88" t="str">
        <f>HYPERLINK("https://www.facebook.com/1785342108299314")</f>
        <v>https://www.facebook.com/1785342108299314</v>
      </c>
      <c r="Q88">
        <v>13241</v>
      </c>
      <c r="R88" t="s">
        <v>32</v>
      </c>
      <c r="S88" t="s">
        <v>33</v>
      </c>
    </row>
    <row r="89" spans="1:22" ht="16">
      <c r="A89" t="s">
        <v>120</v>
      </c>
      <c r="B89" t="s">
        <v>381</v>
      </c>
      <c r="C89" t="s">
        <v>80</v>
      </c>
      <c r="D89" t="s">
        <v>382</v>
      </c>
      <c r="E89" t="s">
        <v>74</v>
      </c>
      <c r="F89" t="s">
        <v>3</v>
      </c>
      <c r="G89" t="str">
        <f>HYPERLINK("https://www.facebook.com/groups/1785342108299314/posts/3443937249106450/?comment_id=3444165235750318&amp;reply_comment_id=3444182525748589")</f>
        <v>https://www.facebook.com/groups/1785342108299314/posts/3443937249106450/?comment_id=3444165235750318&amp;reply_comment_id=3444182525748589</v>
      </c>
      <c r="H89" t="s">
        <v>28</v>
      </c>
      <c r="I89" t="s">
        <v>383</v>
      </c>
      <c r="K89" t="str">
        <f>HYPERLINK("https://www.facebook.com/61559202451650")</f>
        <v>https://www.facebook.com/61559202451650</v>
      </c>
      <c r="M89" t="s">
        <v>30</v>
      </c>
      <c r="N89" t="s">
        <v>31</v>
      </c>
      <c r="O89" t="s">
        <v>290</v>
      </c>
      <c r="P89" t="str">
        <f>HYPERLINK("https://www.facebook.com/1785342108299314")</f>
        <v>https://www.facebook.com/1785342108299314</v>
      </c>
      <c r="Q89">
        <v>13241</v>
      </c>
      <c r="R89" t="s">
        <v>32</v>
      </c>
      <c r="S89" t="s">
        <v>85</v>
      </c>
      <c r="T89" t="s">
        <v>34</v>
      </c>
      <c r="U89" t="s">
        <v>384</v>
      </c>
      <c r="V89" t="s">
        <v>385</v>
      </c>
    </row>
    <row r="90" spans="1:22" ht="16">
      <c r="A90" t="s">
        <v>120</v>
      </c>
      <c r="B90" t="s">
        <v>386</v>
      </c>
      <c r="C90" t="s">
        <v>80</v>
      </c>
      <c r="D90" t="s">
        <v>387</v>
      </c>
      <c r="E90" t="s">
        <v>74</v>
      </c>
      <c r="F90" t="s">
        <v>3</v>
      </c>
      <c r="G90" t="str">
        <f>HYPERLINK("https://www.facebook.com/groups/1785342108299314/posts/3443937249106450/?comment_id=3444173509082824&amp;reply_comment_id=3444181505748691")</f>
        <v>https://www.facebook.com/groups/1785342108299314/posts/3443937249106450/?comment_id=3444173509082824&amp;reply_comment_id=3444181505748691</v>
      </c>
      <c r="H90" t="s">
        <v>28</v>
      </c>
      <c r="I90" t="s">
        <v>383</v>
      </c>
      <c r="K90" t="str">
        <f>HYPERLINK("https://www.facebook.com/61559202451650")</f>
        <v>https://www.facebook.com/61559202451650</v>
      </c>
      <c r="M90" t="s">
        <v>30</v>
      </c>
      <c r="N90" t="s">
        <v>31</v>
      </c>
      <c r="O90" t="s">
        <v>290</v>
      </c>
      <c r="P90" t="str">
        <f>HYPERLINK("https://www.facebook.com/1785342108299314")</f>
        <v>https://www.facebook.com/1785342108299314</v>
      </c>
      <c r="Q90">
        <v>13241</v>
      </c>
      <c r="R90" t="s">
        <v>32</v>
      </c>
      <c r="S90" t="s">
        <v>33</v>
      </c>
      <c r="T90" t="s">
        <v>34</v>
      </c>
      <c r="U90" t="s">
        <v>384</v>
      </c>
      <c r="V90" t="s">
        <v>385</v>
      </c>
    </row>
    <row r="91" spans="1:22" ht="16">
      <c r="A91" t="s">
        <v>120</v>
      </c>
      <c r="B91" t="s">
        <v>388</v>
      </c>
      <c r="C91" t="s">
        <v>72</v>
      </c>
      <c r="D91" t="s">
        <v>389</v>
      </c>
      <c r="E91" t="s">
        <v>74</v>
      </c>
      <c r="F91" t="s">
        <v>3</v>
      </c>
      <c r="G91" t="str">
        <f>HYPERLINK("https://www.facebook.com/permalink.php?story_fbid=pfbid022EiDACdienKpjPECyX349BaVUSYZJn3ACWNGRCFbfhcrL4SL4Kmz7CmKJrKfz1J4l&amp;id=100009468959379&amp;comment_id=2256202651570135")</f>
        <v>https://www.facebook.com/permalink.php?story_fbid=pfbid022EiDACdienKpjPECyX349BaVUSYZJn3ACWNGRCFbfhcrL4SL4Kmz7CmKJrKfz1J4l&amp;id=100009468959379&amp;comment_id=2256202651570135</v>
      </c>
      <c r="H91" t="s">
        <v>28</v>
      </c>
      <c r="I91" t="s">
        <v>390</v>
      </c>
      <c r="K91" t="str">
        <f>HYPERLINK("https://www.facebook.com/61558039088859")</f>
        <v>https://www.facebook.com/61558039088859</v>
      </c>
      <c r="M91" t="s">
        <v>30</v>
      </c>
      <c r="N91" t="s">
        <v>31</v>
      </c>
      <c r="O91" t="s">
        <v>76</v>
      </c>
      <c r="P91" t="str">
        <f>HYPERLINK("https://www.facebook.com/100009468959379")</f>
        <v>https://www.facebook.com/100009468959379</v>
      </c>
      <c r="R91" t="s">
        <v>32</v>
      </c>
      <c r="S91" t="s">
        <v>33</v>
      </c>
      <c r="T91" t="s">
        <v>199</v>
      </c>
      <c r="U91" t="s">
        <v>391</v>
      </c>
      <c r="V91" t="s">
        <v>392</v>
      </c>
    </row>
    <row r="92" spans="1:22" ht="16">
      <c r="A92" t="s">
        <v>120</v>
      </c>
      <c r="B92" t="s">
        <v>393</v>
      </c>
      <c r="C92" t="s">
        <v>80</v>
      </c>
      <c r="D92" t="s">
        <v>394</v>
      </c>
      <c r="E92" t="s">
        <v>74</v>
      </c>
      <c r="F92" t="s">
        <v>3</v>
      </c>
      <c r="G92" t="str">
        <f>HYPERLINK("https://www.facebook.com/groups/1785342108299314/posts/3443937249106450/?comment_id=3444179745748867")</f>
        <v>https://www.facebook.com/groups/1785342108299314/posts/3443937249106450/?comment_id=3444179745748867</v>
      </c>
      <c r="H92" t="s">
        <v>28</v>
      </c>
      <c r="I92" t="s">
        <v>395</v>
      </c>
      <c r="J92" t="s">
        <v>396</v>
      </c>
      <c r="K92" t="str">
        <f>HYPERLINK("https://www.facebook.com/100006130654231")</f>
        <v>https://www.facebook.com/100006130654231</v>
      </c>
      <c r="L92">
        <v>84</v>
      </c>
      <c r="M92" t="s">
        <v>40</v>
      </c>
      <c r="N92" t="s">
        <v>31</v>
      </c>
      <c r="O92" t="s">
        <v>290</v>
      </c>
      <c r="P92" t="str">
        <f t="shared" si="1" ref="P92:P100">HYPERLINK("https://www.facebook.com/1785342108299314")</f>
        <v>https://www.facebook.com/1785342108299314</v>
      </c>
      <c r="Q92">
        <v>13241</v>
      </c>
      <c r="R92" t="s">
        <v>32</v>
      </c>
      <c r="S92" t="s">
        <v>188</v>
      </c>
      <c r="T92" t="s">
        <v>34</v>
      </c>
      <c r="U92" t="s">
        <v>158</v>
      </c>
      <c r="V92" t="s">
        <v>159</v>
      </c>
    </row>
    <row r="93" spans="1:22" ht="16">
      <c r="A93" t="s">
        <v>120</v>
      </c>
      <c r="B93" t="s">
        <v>397</v>
      </c>
      <c r="C93" t="s">
        <v>80</v>
      </c>
      <c r="D93" t="s">
        <v>398</v>
      </c>
      <c r="E93" t="s">
        <v>74</v>
      </c>
      <c r="F93" t="s">
        <v>3</v>
      </c>
      <c r="G93" t="str">
        <f>HYPERLINK("https://www.facebook.com/groups/1785342108299314/posts/3443937249106450/?comment_id=3444178455748996")</f>
        <v>https://www.facebook.com/groups/1785342108299314/posts/3443937249106450/?comment_id=3444178455748996</v>
      </c>
      <c r="H93" t="s">
        <v>28</v>
      </c>
      <c r="I93" t="s">
        <v>399</v>
      </c>
      <c r="J93" t="s">
        <v>400</v>
      </c>
      <c r="K93" t="str">
        <f>HYPERLINK("https://www.facebook.com/pfbid04aTfTLfk3Z3Q6FSz5X2Ern8vPBbS3bUi6qFnn2gFapR7gZQMqMzYpzQaCowQ8Btel")</f>
        <v>https://www.facebook.com/pfbid04aTfTLfk3Z3Q6FSz5X2Ern8vPBbS3bUi6qFnn2gFapR7gZQMqMzYpzQaCowQ8Btel</v>
      </c>
      <c r="L93">
        <v>0</v>
      </c>
      <c r="M93" t="s">
        <v>30</v>
      </c>
      <c r="N93" t="s">
        <v>31</v>
      </c>
      <c r="O93" t="s">
        <v>290</v>
      </c>
      <c r="P93" t="str">
        <f t="shared" si="1"/>
        <v>https://www.facebook.com/1785342108299314</v>
      </c>
      <c r="Q93">
        <v>13241</v>
      </c>
      <c r="R93" t="s">
        <v>32</v>
      </c>
      <c r="S93" t="s">
        <v>33</v>
      </c>
      <c r="T93" t="s">
        <v>34</v>
      </c>
      <c r="U93" t="s">
        <v>41</v>
      </c>
      <c r="V93" t="s">
        <v>296</v>
      </c>
    </row>
    <row r="94" spans="1:22" ht="16">
      <c r="A94" t="s">
        <v>120</v>
      </c>
      <c r="B94" t="s">
        <v>397</v>
      </c>
      <c r="C94" t="s">
        <v>80</v>
      </c>
      <c r="D94" t="s">
        <v>401</v>
      </c>
      <c r="E94" t="s">
        <v>74</v>
      </c>
      <c r="F94" t="s">
        <v>3</v>
      </c>
      <c r="G94" t="str">
        <f>HYPERLINK("https://www.facebook.com/groups/1785342108299314/posts/3443937249106450/?comment_id=3444168909083284&amp;reply_comment_id=3444177995749042")</f>
        <v>https://www.facebook.com/groups/1785342108299314/posts/3443937249106450/?comment_id=3444168909083284&amp;reply_comment_id=3444177995749042</v>
      </c>
      <c r="H94" t="s">
        <v>28</v>
      </c>
      <c r="I94" t="s">
        <v>402</v>
      </c>
      <c r="K94" t="str">
        <f>HYPERLINK("https://www.facebook.com/pfbid02wcbiuRrr58CJv7tDGUwER4PT9t8ix6gM1y5X2yAT7iCYkNUjKCq7KJAncnaWG5nVl")</f>
        <v>https://www.facebook.com/pfbid02wcbiuRrr58CJv7tDGUwER4PT9t8ix6gM1y5X2yAT7iCYkNUjKCq7KJAncnaWG5nVl</v>
      </c>
      <c r="L94">
        <v>7</v>
      </c>
      <c r="M94" t="s">
        <v>30</v>
      </c>
      <c r="N94" t="s">
        <v>31</v>
      </c>
      <c r="O94" t="s">
        <v>290</v>
      </c>
      <c r="P94" t="str">
        <f t="shared" si="1"/>
        <v>https://www.facebook.com/1785342108299314</v>
      </c>
      <c r="Q94">
        <v>13241</v>
      </c>
      <c r="R94" t="s">
        <v>32</v>
      </c>
      <c r="S94" t="s">
        <v>33</v>
      </c>
      <c r="T94" t="s">
        <v>34</v>
      </c>
      <c r="U94" t="s">
        <v>58</v>
      </c>
      <c r="V94" t="s">
        <v>58</v>
      </c>
    </row>
    <row r="95" spans="1:19" ht="16">
      <c r="A95" t="s">
        <v>120</v>
      </c>
      <c r="B95" t="s">
        <v>403</v>
      </c>
      <c r="C95" t="s">
        <v>80</v>
      </c>
      <c r="D95" t="s">
        <v>404</v>
      </c>
      <c r="E95" t="s">
        <v>74</v>
      </c>
      <c r="F95" t="s">
        <v>3</v>
      </c>
      <c r="G95" t="str">
        <f>HYPERLINK("https://www.facebook.com/groups/1785342108299314/posts/3443937249106450/?comment_id=3444176882415820")</f>
        <v>https://www.facebook.com/groups/1785342108299314/posts/3443937249106450/?comment_id=3444176882415820</v>
      </c>
      <c r="H95" t="s">
        <v>28</v>
      </c>
      <c r="I95" t="s">
        <v>405</v>
      </c>
      <c r="K95" t="str">
        <f>HYPERLINK("https://www.facebook.com/61550091435161")</f>
        <v>https://www.facebook.com/61550091435161</v>
      </c>
      <c r="M95" t="s">
        <v>30</v>
      </c>
      <c r="N95" t="s">
        <v>31</v>
      </c>
      <c r="O95" t="s">
        <v>290</v>
      </c>
      <c r="P95" t="str">
        <f t="shared" si="1"/>
        <v>https://www.facebook.com/1785342108299314</v>
      </c>
      <c r="Q95">
        <v>13241</v>
      </c>
      <c r="R95" t="s">
        <v>32</v>
      </c>
      <c r="S95" t="s">
        <v>33</v>
      </c>
    </row>
    <row r="96" spans="1:22" ht="16">
      <c r="A96" t="s">
        <v>120</v>
      </c>
      <c r="B96" t="s">
        <v>403</v>
      </c>
      <c r="C96" t="s">
        <v>80</v>
      </c>
      <c r="D96" t="s">
        <v>406</v>
      </c>
      <c r="E96" t="s">
        <v>74</v>
      </c>
      <c r="F96" t="s">
        <v>3</v>
      </c>
      <c r="G96" t="str">
        <f>HYPERLINK("https://www.facebook.com/groups/1785342108299314/posts/3443937249106450/?comment_id=3444175995749242")</f>
        <v>https://www.facebook.com/groups/1785342108299314/posts/3443937249106450/?comment_id=3444175995749242</v>
      </c>
      <c r="H96" t="s">
        <v>28</v>
      </c>
      <c r="I96" t="s">
        <v>407</v>
      </c>
      <c r="K96" t="str">
        <f>HYPERLINK("https://www.facebook.com/100017272233586")</f>
        <v>https://www.facebook.com/100017272233586</v>
      </c>
      <c r="M96" t="s">
        <v>30</v>
      </c>
      <c r="N96" t="s">
        <v>31</v>
      </c>
      <c r="O96" t="s">
        <v>290</v>
      </c>
      <c r="P96" t="str">
        <f t="shared" si="1"/>
        <v>https://www.facebook.com/1785342108299314</v>
      </c>
      <c r="Q96">
        <v>13241</v>
      </c>
      <c r="R96" t="s">
        <v>32</v>
      </c>
      <c r="S96" t="s">
        <v>33</v>
      </c>
      <c r="T96" t="s">
        <v>34</v>
      </c>
      <c r="U96" t="s">
        <v>408</v>
      </c>
      <c r="V96" t="s">
        <v>409</v>
      </c>
    </row>
    <row r="97" spans="1:19" ht="16">
      <c r="A97" t="s">
        <v>120</v>
      </c>
      <c r="B97" t="s">
        <v>403</v>
      </c>
      <c r="C97" t="s">
        <v>80</v>
      </c>
      <c r="D97" t="s">
        <v>410</v>
      </c>
      <c r="E97" t="s">
        <v>74</v>
      </c>
      <c r="F97" t="s">
        <v>3</v>
      </c>
      <c r="G97" t="str">
        <f>HYPERLINK("https://www.facebook.com/groups/1785342108299314/posts/3443937249106450/?comment_id=3444164425750399&amp;reply_comment_id=3444175932415915")</f>
        <v>https://www.facebook.com/groups/1785342108299314/posts/3443937249106450/?comment_id=3444164425750399&amp;reply_comment_id=3444175932415915</v>
      </c>
      <c r="H97" t="s">
        <v>28</v>
      </c>
      <c r="I97" t="s">
        <v>411</v>
      </c>
      <c r="K97" t="str">
        <f>HYPERLINK("https://www.facebook.com/pfbid0Xwika9dGoy56dmaoBrvrkJtqcPzVxBcA6zaxcffW4U8azegp2yrGvGWATN8LVRhel")</f>
        <v>https://www.facebook.com/pfbid0Xwika9dGoy56dmaoBrvrkJtqcPzVxBcA6zaxcffW4U8azegp2yrGvGWATN8LVRhel</v>
      </c>
      <c r="M97" t="s">
        <v>30</v>
      </c>
      <c r="N97" t="s">
        <v>31</v>
      </c>
      <c r="O97" t="s">
        <v>290</v>
      </c>
      <c r="P97" t="str">
        <f t="shared" si="1"/>
        <v>https://www.facebook.com/1785342108299314</v>
      </c>
      <c r="Q97">
        <v>13241</v>
      </c>
      <c r="R97" t="s">
        <v>32</v>
      </c>
      <c r="S97" t="s">
        <v>85</v>
      </c>
    </row>
    <row r="98" spans="1:22" ht="16">
      <c r="A98" t="s">
        <v>120</v>
      </c>
      <c r="B98" t="s">
        <v>412</v>
      </c>
      <c r="C98" t="s">
        <v>80</v>
      </c>
      <c r="D98" t="s">
        <v>413</v>
      </c>
      <c r="E98" t="s">
        <v>74</v>
      </c>
      <c r="F98" t="s">
        <v>3</v>
      </c>
      <c r="G98" t="str">
        <f>HYPERLINK("https://www.facebook.com/groups/1785342108299314/posts/3443937249106450/?comment_id=3444174892416019")</f>
        <v>https://www.facebook.com/groups/1785342108299314/posts/3443937249106450/?comment_id=3444174892416019</v>
      </c>
      <c r="H98" t="s">
        <v>28</v>
      </c>
      <c r="I98" t="s">
        <v>414</v>
      </c>
      <c r="K98" t="str">
        <f>HYPERLINK("https://www.facebook.com/100071327404524")</f>
        <v>https://www.facebook.com/100071327404524</v>
      </c>
      <c r="M98" t="s">
        <v>30</v>
      </c>
      <c r="N98" t="s">
        <v>31</v>
      </c>
      <c r="O98" t="s">
        <v>290</v>
      </c>
      <c r="P98" t="str">
        <f t="shared" si="1"/>
        <v>https://www.facebook.com/1785342108299314</v>
      </c>
      <c r="Q98">
        <v>13241</v>
      </c>
      <c r="R98" t="s">
        <v>32</v>
      </c>
      <c r="S98" t="s">
        <v>85</v>
      </c>
      <c r="T98" t="s">
        <v>34</v>
      </c>
      <c r="U98" t="s">
        <v>158</v>
      </c>
      <c r="V98" t="s">
        <v>415</v>
      </c>
    </row>
    <row r="99" spans="1:19" ht="16">
      <c r="A99" t="s">
        <v>120</v>
      </c>
      <c r="B99" t="s">
        <v>416</v>
      </c>
      <c r="C99" t="s">
        <v>80</v>
      </c>
      <c r="D99" t="s">
        <v>417</v>
      </c>
      <c r="E99" t="s">
        <v>74</v>
      </c>
      <c r="F99" t="s">
        <v>3</v>
      </c>
      <c r="G99" t="str">
        <f>HYPERLINK("https://www.facebook.com/groups/1785342108299314/posts/3443937249106450/?comment_id=3444174639082711")</f>
        <v>https://www.facebook.com/groups/1785342108299314/posts/3443937249106450/?comment_id=3444174639082711</v>
      </c>
      <c r="H99" t="s">
        <v>28</v>
      </c>
      <c r="I99" t="s">
        <v>418</v>
      </c>
      <c r="K99" t="str">
        <f>HYPERLINK("https://www.facebook.com/100017291885715")</f>
        <v>https://www.facebook.com/100017291885715</v>
      </c>
      <c r="L99">
        <v>109</v>
      </c>
      <c r="M99" t="s">
        <v>30</v>
      </c>
      <c r="N99" t="s">
        <v>31</v>
      </c>
      <c r="O99" t="s">
        <v>290</v>
      </c>
      <c r="P99" t="str">
        <f t="shared" si="1"/>
        <v>https://www.facebook.com/1785342108299314</v>
      </c>
      <c r="Q99">
        <v>13241</v>
      </c>
      <c r="R99" t="s">
        <v>32</v>
      </c>
      <c r="S99" t="s">
        <v>85</v>
      </c>
    </row>
    <row r="100" spans="1:22" ht="16">
      <c r="A100" t="s">
        <v>120</v>
      </c>
      <c r="B100" t="s">
        <v>416</v>
      </c>
      <c r="C100" t="s">
        <v>80</v>
      </c>
      <c r="D100" t="s">
        <v>419</v>
      </c>
      <c r="E100" t="s">
        <v>74</v>
      </c>
      <c r="F100" t="s">
        <v>3</v>
      </c>
      <c r="G100" t="str">
        <f>HYPERLINK("https://www.facebook.com/groups/1785342108299314/posts/3443937249106450/?comment_id=3444173509082824&amp;reply_comment_id=3444174409082734")</f>
        <v>https://www.facebook.com/groups/1785342108299314/posts/3443937249106450/?comment_id=3444173509082824&amp;reply_comment_id=3444174409082734</v>
      </c>
      <c r="H100" t="s">
        <v>28</v>
      </c>
      <c r="I100" t="s">
        <v>420</v>
      </c>
      <c r="J100" t="s">
        <v>421</v>
      </c>
      <c r="K100" t="str">
        <f>HYPERLINK("https://www.facebook.com/100026735406432")</f>
        <v>https://www.facebook.com/100026735406432</v>
      </c>
      <c r="M100" t="s">
        <v>40</v>
      </c>
      <c r="N100" t="s">
        <v>31</v>
      </c>
      <c r="O100" t="s">
        <v>290</v>
      </c>
      <c r="P100" t="str">
        <f t="shared" si="1"/>
        <v>https://www.facebook.com/1785342108299314</v>
      </c>
      <c r="Q100">
        <v>13241</v>
      </c>
      <c r="R100" t="s">
        <v>32</v>
      </c>
      <c r="S100" t="s">
        <v>85</v>
      </c>
      <c r="T100" t="s">
        <v>34</v>
      </c>
      <c r="U100" t="s">
        <v>309</v>
      </c>
      <c r="V100" t="s">
        <v>422</v>
      </c>
    </row>
    <row r="101" spans="1:19" ht="16">
      <c r="A101" t="s">
        <v>120</v>
      </c>
      <c r="B101" t="s">
        <v>416</v>
      </c>
      <c r="C101" t="s">
        <v>24</v>
      </c>
      <c r="D101" t="s">
        <v>165</v>
      </c>
      <c r="E101" t="s">
        <v>45</v>
      </c>
      <c r="F101" t="s">
        <v>46</v>
      </c>
      <c r="G101" t="str">
        <f>HYPERLINK("https://www.facebook.com/1582956903028289")</f>
        <v>https://www.facebook.com/1582956903028289</v>
      </c>
      <c r="H101" t="s">
        <v>28</v>
      </c>
      <c r="I101" t="s">
        <v>423</v>
      </c>
      <c r="K101" t="str">
        <f>HYPERLINK("https://www.facebook.com/100039419829885")</f>
        <v>https://www.facebook.com/100039419829885</v>
      </c>
      <c r="M101" t="s">
        <v>30</v>
      </c>
      <c r="N101" t="s">
        <v>31</v>
      </c>
      <c r="O101" t="s">
        <v>423</v>
      </c>
      <c r="P101" t="str">
        <f>HYPERLINK("https://www.facebook.com/100039419829885")</f>
        <v>https://www.facebook.com/100039419829885</v>
      </c>
      <c r="R101" t="s">
        <v>32</v>
      </c>
      <c r="S101" t="s">
        <v>33</v>
      </c>
    </row>
    <row r="102" spans="1:19" ht="16">
      <c r="A102" t="s">
        <v>120</v>
      </c>
      <c r="B102" t="s">
        <v>416</v>
      </c>
      <c r="C102" t="s">
        <v>80</v>
      </c>
      <c r="D102" t="s">
        <v>424</v>
      </c>
      <c r="E102" t="s">
        <v>74</v>
      </c>
      <c r="F102" t="s">
        <v>3</v>
      </c>
      <c r="G102" t="str">
        <f>HYPERLINK("https://www.facebook.com/groups/1785342108299314/posts/3443937249106450/?comment_id=3444173875749454")</f>
        <v>https://www.facebook.com/groups/1785342108299314/posts/3443937249106450/?comment_id=3444173875749454</v>
      </c>
      <c r="H102" t="s">
        <v>28</v>
      </c>
      <c r="I102" t="s">
        <v>425</v>
      </c>
      <c r="K102" t="str">
        <f>HYPERLINK("https://www.facebook.com/100010345365007")</f>
        <v>https://www.facebook.com/100010345365007</v>
      </c>
      <c r="M102" t="s">
        <v>30</v>
      </c>
      <c r="N102" t="s">
        <v>31</v>
      </c>
      <c r="O102" t="s">
        <v>290</v>
      </c>
      <c r="P102" t="str">
        <f>HYPERLINK("https://www.facebook.com/1785342108299314")</f>
        <v>https://www.facebook.com/1785342108299314</v>
      </c>
      <c r="Q102">
        <v>13241</v>
      </c>
      <c r="R102" t="s">
        <v>32</v>
      </c>
      <c r="S102" t="s">
        <v>85</v>
      </c>
    </row>
    <row r="103" spans="1:22" ht="16">
      <c r="A103" t="s">
        <v>120</v>
      </c>
      <c r="B103" t="s">
        <v>426</v>
      </c>
      <c r="C103" t="s">
        <v>80</v>
      </c>
      <c r="D103" t="s">
        <v>427</v>
      </c>
      <c r="E103" t="s">
        <v>74</v>
      </c>
      <c r="F103" t="s">
        <v>3</v>
      </c>
      <c r="G103" t="str">
        <f>HYPERLINK("https://www.facebook.com/groups/1785342108299314/posts/3443937249106450/?comment_id=3444173735749468")</f>
        <v>https://www.facebook.com/groups/1785342108299314/posts/3443937249106450/?comment_id=3444173735749468</v>
      </c>
      <c r="H103" t="s">
        <v>28</v>
      </c>
      <c r="I103" t="s">
        <v>428</v>
      </c>
      <c r="K103" t="str">
        <f>HYPERLINK("https://www.facebook.com/100006115632194")</f>
        <v>https://www.facebook.com/100006115632194</v>
      </c>
      <c r="L103">
        <v>410</v>
      </c>
      <c r="M103" t="s">
        <v>40</v>
      </c>
      <c r="N103" t="s">
        <v>31</v>
      </c>
      <c r="O103" t="s">
        <v>290</v>
      </c>
      <c r="P103" t="str">
        <f>HYPERLINK("https://www.facebook.com/1785342108299314")</f>
        <v>https://www.facebook.com/1785342108299314</v>
      </c>
      <c r="Q103">
        <v>13241</v>
      </c>
      <c r="R103" t="s">
        <v>32</v>
      </c>
      <c r="S103" t="s">
        <v>33</v>
      </c>
      <c r="T103" t="s">
        <v>34</v>
      </c>
      <c r="U103" t="s">
        <v>158</v>
      </c>
      <c r="V103" t="s">
        <v>159</v>
      </c>
    </row>
    <row r="104" spans="1:19" ht="16">
      <c r="A104" t="s">
        <v>120</v>
      </c>
      <c r="B104" t="s">
        <v>426</v>
      </c>
      <c r="C104" t="s">
        <v>80</v>
      </c>
      <c r="D104" t="s">
        <v>429</v>
      </c>
      <c r="E104" t="s">
        <v>74</v>
      </c>
      <c r="F104" t="s">
        <v>3</v>
      </c>
      <c r="G104" t="str">
        <f>HYPERLINK("https://www.facebook.com/groups/1785342108299314/posts/3443937249106450/?comment_id=3444173509082824")</f>
        <v>https://www.facebook.com/groups/1785342108299314/posts/3443937249106450/?comment_id=3444173509082824</v>
      </c>
      <c r="H104" t="s">
        <v>28</v>
      </c>
      <c r="I104" t="s">
        <v>430</v>
      </c>
      <c r="K104" t="str">
        <f>HYPERLINK("https://www.facebook.com/pfbid02LsnKYQkkajEfa6XNsCDrdBnVrbz7Pv537HJBLY7aWepqwce5mTVbqtt1PZKHG86zl")</f>
        <v>https://www.facebook.com/pfbid02LsnKYQkkajEfa6XNsCDrdBnVrbz7Pv537HJBLY7aWepqwce5mTVbqtt1PZKHG86zl</v>
      </c>
      <c r="M104" t="s">
        <v>40</v>
      </c>
      <c r="N104" t="s">
        <v>31</v>
      </c>
      <c r="O104" t="s">
        <v>290</v>
      </c>
      <c r="P104" t="str">
        <f>HYPERLINK("https://www.facebook.com/1785342108299314")</f>
        <v>https://www.facebook.com/1785342108299314</v>
      </c>
      <c r="Q104">
        <v>13241</v>
      </c>
      <c r="R104" t="s">
        <v>32</v>
      </c>
      <c r="S104" t="s">
        <v>33</v>
      </c>
    </row>
    <row r="105" spans="1:19" ht="16">
      <c r="A105" t="s">
        <v>120</v>
      </c>
      <c r="B105" t="s">
        <v>426</v>
      </c>
      <c r="C105" t="s">
        <v>80</v>
      </c>
      <c r="D105" t="s">
        <v>431</v>
      </c>
      <c r="E105" t="s">
        <v>74</v>
      </c>
      <c r="F105" t="s">
        <v>3</v>
      </c>
      <c r="G105" t="str">
        <f>HYPERLINK("https://www.facebook.com/groups/1785342108299314/posts/3443937249106450/?comment_id=3444168909083284&amp;reply_comment_id=3444173322416176")</f>
        <v>https://www.facebook.com/groups/1785342108299314/posts/3443937249106450/?comment_id=3444168909083284&amp;reply_comment_id=3444173322416176</v>
      </c>
      <c r="H105" t="s">
        <v>28</v>
      </c>
      <c r="I105" t="s">
        <v>411</v>
      </c>
      <c r="K105" t="str">
        <f>HYPERLINK("https://www.facebook.com/pfbid0Xwika9dGoy56dmaoBrvrkJtqcPzVxBcA6zaxcffW4U8azegp2yrGvGWATN8LVRhel")</f>
        <v>https://www.facebook.com/pfbid0Xwika9dGoy56dmaoBrvrkJtqcPzVxBcA6zaxcffW4U8azegp2yrGvGWATN8LVRhel</v>
      </c>
      <c r="M105" t="s">
        <v>30</v>
      </c>
      <c r="N105" t="s">
        <v>31</v>
      </c>
      <c r="O105" t="s">
        <v>290</v>
      </c>
      <c r="P105" t="str">
        <f>HYPERLINK("https://www.facebook.com/1785342108299314")</f>
        <v>https://www.facebook.com/1785342108299314</v>
      </c>
      <c r="Q105">
        <v>13241</v>
      </c>
      <c r="R105" t="s">
        <v>32</v>
      </c>
      <c r="S105" t="s">
        <v>33</v>
      </c>
    </row>
    <row r="106" spans="1:22" ht="16">
      <c r="A106" t="s">
        <v>120</v>
      </c>
      <c r="B106" t="s">
        <v>426</v>
      </c>
      <c r="C106" t="s">
        <v>80</v>
      </c>
      <c r="D106" t="s">
        <v>432</v>
      </c>
      <c r="E106" t="s">
        <v>74</v>
      </c>
      <c r="F106" t="s">
        <v>3</v>
      </c>
      <c r="G106" t="str">
        <f>HYPERLINK("https://www.facebook.com/groups/1785342108299314/posts/3443937249106450/?comment_id=3444173215749520")</f>
        <v>https://www.facebook.com/groups/1785342108299314/posts/3443937249106450/?comment_id=3444173215749520</v>
      </c>
      <c r="H106" t="s">
        <v>28</v>
      </c>
      <c r="I106" t="s">
        <v>433</v>
      </c>
      <c r="K106" t="str">
        <f>HYPERLINK("https://www.facebook.com/100082686288515")</f>
        <v>https://www.facebook.com/100082686288515</v>
      </c>
      <c r="M106" t="s">
        <v>30</v>
      </c>
      <c r="N106" t="s">
        <v>31</v>
      </c>
      <c r="O106" t="s">
        <v>290</v>
      </c>
      <c r="P106" t="str">
        <f>HYPERLINK("https://www.facebook.com/1785342108299314")</f>
        <v>https://www.facebook.com/1785342108299314</v>
      </c>
      <c r="Q106">
        <v>13241</v>
      </c>
      <c r="R106" t="s">
        <v>32</v>
      </c>
      <c r="S106" t="s">
        <v>33</v>
      </c>
      <c r="T106" t="s">
        <v>256</v>
      </c>
      <c r="U106" t="s">
        <v>434</v>
      </c>
      <c r="V106" t="s">
        <v>435</v>
      </c>
    </row>
    <row r="107" spans="1:22" ht="16">
      <c r="A107" t="s">
        <v>120</v>
      </c>
      <c r="B107" t="s">
        <v>436</v>
      </c>
      <c r="C107" t="s">
        <v>24</v>
      </c>
      <c r="D107" t="s">
        <v>165</v>
      </c>
      <c r="E107" t="s">
        <v>45</v>
      </c>
      <c r="F107" t="s">
        <v>46</v>
      </c>
      <c r="G107" t="str">
        <f>HYPERLINK("https://www.facebook.com/25894430640184196")</f>
        <v>https://www.facebook.com/25894430640184196</v>
      </c>
      <c r="H107" t="s">
        <v>28</v>
      </c>
      <c r="I107" t="s">
        <v>437</v>
      </c>
      <c r="J107" t="s">
        <v>438</v>
      </c>
      <c r="K107" t="str">
        <f>HYPERLINK("https://www.facebook.com/100001318412113")</f>
        <v>https://www.facebook.com/100001318412113</v>
      </c>
      <c r="M107" t="s">
        <v>40</v>
      </c>
      <c r="N107" t="s">
        <v>31</v>
      </c>
      <c r="O107" t="s">
        <v>437</v>
      </c>
      <c r="P107" t="str">
        <f>HYPERLINK("https://www.facebook.com/100001318412113")</f>
        <v>https://www.facebook.com/100001318412113</v>
      </c>
      <c r="R107" t="s">
        <v>32</v>
      </c>
      <c r="S107" t="s">
        <v>33</v>
      </c>
      <c r="T107" t="s">
        <v>34</v>
      </c>
      <c r="U107" t="s">
        <v>439</v>
      </c>
      <c r="V107" t="s">
        <v>440</v>
      </c>
    </row>
    <row r="108" spans="1:22" ht="16">
      <c r="A108" t="s">
        <v>120</v>
      </c>
      <c r="B108" t="s">
        <v>441</v>
      </c>
      <c r="C108" t="s">
        <v>80</v>
      </c>
      <c r="D108" t="s">
        <v>442</v>
      </c>
      <c r="E108" t="s">
        <v>74</v>
      </c>
      <c r="F108" t="s">
        <v>3</v>
      </c>
      <c r="G108" t="str">
        <f>HYPERLINK("https://www.facebook.com/groups/1785342108299314/posts/3443937249106450/?comment_id=3444171799082995")</f>
        <v>https://www.facebook.com/groups/1785342108299314/posts/3443937249106450/?comment_id=3444171799082995</v>
      </c>
      <c r="H108" t="s">
        <v>28</v>
      </c>
      <c r="I108" t="s">
        <v>443</v>
      </c>
      <c r="K108" t="str">
        <f>HYPERLINK("https://www.facebook.com/100013260402912")</f>
        <v>https://www.facebook.com/100013260402912</v>
      </c>
      <c r="M108" t="s">
        <v>30</v>
      </c>
      <c r="N108" t="s">
        <v>31</v>
      </c>
      <c r="O108" t="s">
        <v>290</v>
      </c>
      <c r="P108" t="str">
        <f>HYPERLINK("https://www.facebook.com/1785342108299314")</f>
        <v>https://www.facebook.com/1785342108299314</v>
      </c>
      <c r="Q108">
        <v>13241</v>
      </c>
      <c r="R108" t="s">
        <v>32</v>
      </c>
      <c r="S108" t="s">
        <v>33</v>
      </c>
      <c r="T108" t="s">
        <v>34</v>
      </c>
      <c r="U108" t="s">
        <v>58</v>
      </c>
      <c r="V108" t="s">
        <v>58</v>
      </c>
    </row>
    <row r="109" spans="1:22" ht="16">
      <c r="A109" t="s">
        <v>120</v>
      </c>
      <c r="B109" t="s">
        <v>441</v>
      </c>
      <c r="C109" t="s">
        <v>80</v>
      </c>
      <c r="D109" t="s">
        <v>444</v>
      </c>
      <c r="E109" t="s">
        <v>74</v>
      </c>
      <c r="F109" t="s">
        <v>3</v>
      </c>
      <c r="G109" t="str">
        <f>HYPERLINK("https://www.facebook.com/groups/1785342108299314/posts/3443937249106450/?comment_id=3444020362431472&amp;reply_comment_id=3444171622416346")</f>
        <v>https://www.facebook.com/groups/1785342108299314/posts/3443937249106450/?comment_id=3444020362431472&amp;reply_comment_id=3444171622416346</v>
      </c>
      <c r="H109" t="s">
        <v>28</v>
      </c>
      <c r="I109" t="s">
        <v>445</v>
      </c>
      <c r="K109" t="str">
        <f>HYPERLINK("https://www.facebook.com/pfbid02uAQcVZCHLH1F7aVG64vWgwdpwqK9sP5uUgnmA42gMfJzAdWbb4ijerBRd697xCKdl")</f>
        <v>https://www.facebook.com/pfbid02uAQcVZCHLH1F7aVG64vWgwdpwqK9sP5uUgnmA42gMfJzAdWbb4ijerBRd697xCKdl</v>
      </c>
      <c r="M109" t="s">
        <v>30</v>
      </c>
      <c r="N109" t="s">
        <v>31</v>
      </c>
      <c r="O109" t="s">
        <v>290</v>
      </c>
      <c r="P109" t="str">
        <f>HYPERLINK("https://www.facebook.com/1785342108299314")</f>
        <v>https://www.facebook.com/1785342108299314</v>
      </c>
      <c r="Q109">
        <v>13241</v>
      </c>
      <c r="R109" t="s">
        <v>32</v>
      </c>
      <c r="S109" t="s">
        <v>85</v>
      </c>
      <c r="T109" t="s">
        <v>34</v>
      </c>
      <c r="U109" t="s">
        <v>167</v>
      </c>
      <c r="V109" t="s">
        <v>446</v>
      </c>
    </row>
    <row r="110" spans="1:19" ht="16">
      <c r="A110" t="s">
        <v>120</v>
      </c>
      <c r="B110" t="s">
        <v>441</v>
      </c>
      <c r="C110" t="s">
        <v>24</v>
      </c>
      <c r="D110" t="s">
        <v>165</v>
      </c>
      <c r="E110" t="s">
        <v>45</v>
      </c>
      <c r="F110" t="s">
        <v>46</v>
      </c>
      <c r="G110" t="str">
        <f>HYPERLINK("https://www.facebook.com/1595564531645376")</f>
        <v>https://www.facebook.com/1595564531645376</v>
      </c>
      <c r="H110" t="s">
        <v>28</v>
      </c>
      <c r="I110" t="s">
        <v>447</v>
      </c>
      <c r="K110" t="str">
        <f>HYPERLINK("https://www.facebook.com/100035755320864")</f>
        <v>https://www.facebook.com/100035755320864</v>
      </c>
      <c r="M110" t="s">
        <v>30</v>
      </c>
      <c r="N110" t="s">
        <v>31</v>
      </c>
      <c r="O110" t="s">
        <v>447</v>
      </c>
      <c r="P110" t="str">
        <f>HYPERLINK("https://www.facebook.com/100035755320864")</f>
        <v>https://www.facebook.com/100035755320864</v>
      </c>
      <c r="R110" t="s">
        <v>32</v>
      </c>
      <c r="S110" t="s">
        <v>33</v>
      </c>
    </row>
    <row r="111" spans="1:22" ht="16">
      <c r="A111" t="s">
        <v>120</v>
      </c>
      <c r="B111" t="s">
        <v>448</v>
      </c>
      <c r="C111" t="s">
        <v>80</v>
      </c>
      <c r="D111" t="s">
        <v>449</v>
      </c>
      <c r="E111" t="s">
        <v>74</v>
      </c>
      <c r="F111" t="s">
        <v>3</v>
      </c>
      <c r="G111" t="str">
        <f>HYPERLINK("https://www.facebook.com/groups/1785342108299314/posts/3443937249106450/?comment_id=3444168909083284")</f>
        <v>https://www.facebook.com/groups/1785342108299314/posts/3443937249106450/?comment_id=3444168909083284</v>
      </c>
      <c r="H111" t="s">
        <v>28</v>
      </c>
      <c r="I111" t="s">
        <v>402</v>
      </c>
      <c r="K111" t="str">
        <f>HYPERLINK("https://www.facebook.com/pfbid02wcbiuRrr58CJv7tDGUwER4PT9t8ix6gM1y5X2yAT7iCYkNUjKCq7KJAncnaWG5nVl")</f>
        <v>https://www.facebook.com/pfbid02wcbiuRrr58CJv7tDGUwER4PT9t8ix6gM1y5X2yAT7iCYkNUjKCq7KJAncnaWG5nVl</v>
      </c>
      <c r="L111">
        <v>7</v>
      </c>
      <c r="M111" t="s">
        <v>30</v>
      </c>
      <c r="N111" t="s">
        <v>31</v>
      </c>
      <c r="O111" t="s">
        <v>290</v>
      </c>
      <c r="P111" t="str">
        <f t="shared" si="2" ref="P111:P116">HYPERLINK("https://www.facebook.com/1785342108299314")</f>
        <v>https://www.facebook.com/1785342108299314</v>
      </c>
      <c r="Q111">
        <v>13241</v>
      </c>
      <c r="R111" t="s">
        <v>32</v>
      </c>
      <c r="S111" t="s">
        <v>33</v>
      </c>
      <c r="T111" t="s">
        <v>34</v>
      </c>
      <c r="U111" t="s">
        <v>58</v>
      </c>
      <c r="V111" t="s">
        <v>58</v>
      </c>
    </row>
    <row r="112" spans="1:22" ht="16">
      <c r="A112" t="s">
        <v>120</v>
      </c>
      <c r="B112" t="s">
        <v>448</v>
      </c>
      <c r="C112" t="s">
        <v>80</v>
      </c>
      <c r="D112" t="s">
        <v>450</v>
      </c>
      <c r="E112" t="s">
        <v>74</v>
      </c>
      <c r="F112" t="s">
        <v>3</v>
      </c>
      <c r="G112" t="str">
        <f>HYPERLINK("https://www.facebook.com/groups/1785342108299314/posts/3443937249106450/?comment_id=3444168799083295")</f>
        <v>https://www.facebook.com/groups/1785342108299314/posts/3443937249106450/?comment_id=3444168799083295</v>
      </c>
      <c r="H112" t="s">
        <v>28</v>
      </c>
      <c r="I112" t="s">
        <v>451</v>
      </c>
      <c r="J112" t="s">
        <v>452</v>
      </c>
      <c r="K112" t="str">
        <f>HYPERLINK("https://www.facebook.com/100039056663663")</f>
        <v>https://www.facebook.com/100039056663663</v>
      </c>
      <c r="M112" t="s">
        <v>30</v>
      </c>
      <c r="N112" t="s">
        <v>31</v>
      </c>
      <c r="O112" t="s">
        <v>290</v>
      </c>
      <c r="P112" t="str">
        <f t="shared" si="2"/>
        <v>https://www.facebook.com/1785342108299314</v>
      </c>
      <c r="Q112">
        <v>13241</v>
      </c>
      <c r="R112" t="s">
        <v>32</v>
      </c>
      <c r="S112" t="s">
        <v>33</v>
      </c>
      <c r="T112" t="s">
        <v>34</v>
      </c>
      <c r="U112" t="s">
        <v>158</v>
      </c>
      <c r="V112" t="s">
        <v>159</v>
      </c>
    </row>
    <row r="113" spans="1:19" ht="16">
      <c r="A113" t="s">
        <v>120</v>
      </c>
      <c r="B113" t="s">
        <v>448</v>
      </c>
      <c r="C113" t="s">
        <v>80</v>
      </c>
      <c r="D113" t="s">
        <v>453</v>
      </c>
      <c r="E113" t="s">
        <v>74</v>
      </c>
      <c r="F113" t="s">
        <v>3</v>
      </c>
      <c r="G113" t="str">
        <f>HYPERLINK("https://www.facebook.com/groups/1785342108299314/posts/3443937249106450/?comment_id=3444168775749964")</f>
        <v>https://www.facebook.com/groups/1785342108299314/posts/3443937249106450/?comment_id=3444168775749964</v>
      </c>
      <c r="H113" t="s">
        <v>28</v>
      </c>
      <c r="I113" t="s">
        <v>454</v>
      </c>
      <c r="K113" t="str">
        <f>HYPERLINK("https://www.facebook.com/pfbid02RxkxVpJ27FQCv7U4Ee6zkU1M2NrkHxeZXG977sNpYqDSrYefgcYpQy6f8rk54Qesl")</f>
        <v>https://www.facebook.com/pfbid02RxkxVpJ27FQCv7U4Ee6zkU1M2NrkHxeZXG977sNpYqDSrYefgcYpQy6f8rk54Qesl</v>
      </c>
      <c r="M113" t="s">
        <v>30</v>
      </c>
      <c r="N113" t="s">
        <v>31</v>
      </c>
      <c r="O113" t="s">
        <v>290</v>
      </c>
      <c r="P113" t="str">
        <f t="shared" si="2"/>
        <v>https://www.facebook.com/1785342108299314</v>
      </c>
      <c r="Q113">
        <v>13241</v>
      </c>
      <c r="R113" t="s">
        <v>32</v>
      </c>
      <c r="S113" t="s">
        <v>33</v>
      </c>
    </row>
    <row r="114" spans="1:22" ht="16">
      <c r="A114" t="s">
        <v>120</v>
      </c>
      <c r="B114" t="s">
        <v>455</v>
      </c>
      <c r="C114" t="s">
        <v>80</v>
      </c>
      <c r="D114" t="s">
        <v>456</v>
      </c>
      <c r="E114" t="s">
        <v>74</v>
      </c>
      <c r="F114" t="s">
        <v>3</v>
      </c>
      <c r="G114" t="str">
        <f>HYPERLINK("https://www.facebook.com/groups/1785342108299314/posts/3443937249106450/?comment_id=3444150085751833&amp;reply_comment_id=3444167939083381")</f>
        <v>https://www.facebook.com/groups/1785342108299314/posts/3443937249106450/?comment_id=3444150085751833&amp;reply_comment_id=3444167939083381</v>
      </c>
      <c r="H114" t="s">
        <v>28</v>
      </c>
      <c r="I114" t="s">
        <v>457</v>
      </c>
      <c r="K114" t="str">
        <f>HYPERLINK("https://www.facebook.com/100017203627369")</f>
        <v>https://www.facebook.com/100017203627369</v>
      </c>
      <c r="M114" t="s">
        <v>30</v>
      </c>
      <c r="N114" t="s">
        <v>31</v>
      </c>
      <c r="O114" t="s">
        <v>290</v>
      </c>
      <c r="P114" t="str">
        <f t="shared" si="2"/>
        <v>https://www.facebook.com/1785342108299314</v>
      </c>
      <c r="Q114">
        <v>13241</v>
      </c>
      <c r="R114" t="s">
        <v>32</v>
      </c>
      <c r="S114" t="s">
        <v>33</v>
      </c>
      <c r="T114" t="s">
        <v>34</v>
      </c>
      <c r="U114" t="s">
        <v>41</v>
      </c>
      <c r="V114" t="s">
        <v>42</v>
      </c>
    </row>
    <row r="115" spans="1:22" ht="16">
      <c r="A115" t="s">
        <v>120</v>
      </c>
      <c r="B115" t="s">
        <v>455</v>
      </c>
      <c r="C115" t="s">
        <v>80</v>
      </c>
      <c r="D115" t="s">
        <v>458</v>
      </c>
      <c r="E115" t="s">
        <v>74</v>
      </c>
      <c r="F115" t="s">
        <v>3</v>
      </c>
      <c r="G115" t="str">
        <f>HYPERLINK("https://www.facebook.com/groups/1785342108299314/posts/3443937249106450/?comment_id=3444167372416771")</f>
        <v>https://www.facebook.com/groups/1785342108299314/posts/3443937249106450/?comment_id=3444167372416771</v>
      </c>
      <c r="H115" t="s">
        <v>28</v>
      </c>
      <c r="I115" t="s">
        <v>459</v>
      </c>
      <c r="K115" t="str">
        <f>HYPERLINK("https://www.facebook.com/100064601154861")</f>
        <v>https://www.facebook.com/100064601154861</v>
      </c>
      <c r="M115" t="s">
        <v>30</v>
      </c>
      <c r="N115" t="s">
        <v>31</v>
      </c>
      <c r="O115" t="s">
        <v>290</v>
      </c>
      <c r="P115" t="str">
        <f t="shared" si="2"/>
        <v>https://www.facebook.com/1785342108299314</v>
      </c>
      <c r="Q115">
        <v>13241</v>
      </c>
      <c r="R115" t="s">
        <v>32</v>
      </c>
      <c r="S115" t="s">
        <v>85</v>
      </c>
      <c r="T115" t="s">
        <v>34</v>
      </c>
      <c r="U115" t="s">
        <v>173</v>
      </c>
      <c r="V115" t="s">
        <v>460</v>
      </c>
    </row>
    <row r="116" spans="1:19" ht="16">
      <c r="A116" t="s">
        <v>120</v>
      </c>
      <c r="B116" t="s">
        <v>461</v>
      </c>
      <c r="C116" t="s">
        <v>80</v>
      </c>
      <c r="D116" t="s">
        <v>462</v>
      </c>
      <c r="E116" t="s">
        <v>74</v>
      </c>
      <c r="F116" t="s">
        <v>3</v>
      </c>
      <c r="G116" t="str">
        <f>HYPERLINK("https://www.facebook.com/groups/1785342108299314/posts/3443937249106450/?comment_id=3444167012416807")</f>
        <v>https://www.facebook.com/groups/1785342108299314/posts/3443937249106450/?comment_id=3444167012416807</v>
      </c>
      <c r="H116" t="s">
        <v>28</v>
      </c>
      <c r="I116" t="s">
        <v>463</v>
      </c>
      <c r="K116" t="str">
        <f>HYPERLINK("https://www.facebook.com/100089468101858")</f>
        <v>https://www.facebook.com/100089468101858</v>
      </c>
      <c r="M116" t="s">
        <v>30</v>
      </c>
      <c r="N116" t="s">
        <v>31</v>
      </c>
      <c r="O116" t="s">
        <v>290</v>
      </c>
      <c r="P116" t="str">
        <f t="shared" si="2"/>
        <v>https://www.facebook.com/1785342108299314</v>
      </c>
      <c r="Q116">
        <v>13241</v>
      </c>
      <c r="R116" t="s">
        <v>32</v>
      </c>
      <c r="S116" t="s">
        <v>85</v>
      </c>
    </row>
    <row r="117" spans="1:21" ht="16">
      <c r="A117" t="s">
        <v>120</v>
      </c>
      <c r="B117" t="s">
        <v>461</v>
      </c>
      <c r="C117" t="s">
        <v>24</v>
      </c>
      <c r="D117" t="s">
        <v>165</v>
      </c>
      <c r="E117" t="s">
        <v>45</v>
      </c>
      <c r="F117" t="s">
        <v>46</v>
      </c>
      <c r="G117" t="str">
        <f>HYPERLINK("https://www.facebook.com/2461410520928675")</f>
        <v>https://www.facebook.com/2461410520928675</v>
      </c>
      <c r="H117" t="s">
        <v>28</v>
      </c>
      <c r="I117" t="s">
        <v>464</v>
      </c>
      <c r="K117" t="str">
        <f>HYPERLINK("https://www.facebook.com/100011792532262")</f>
        <v>https://www.facebook.com/100011792532262</v>
      </c>
      <c r="M117" t="s">
        <v>30</v>
      </c>
      <c r="N117" t="s">
        <v>31</v>
      </c>
      <c r="O117" t="s">
        <v>464</v>
      </c>
      <c r="P117" t="str">
        <f>HYPERLINK("https://www.facebook.com/100011792532262")</f>
        <v>https://www.facebook.com/100011792532262</v>
      </c>
      <c r="R117" t="s">
        <v>32</v>
      </c>
      <c r="S117" t="s">
        <v>33</v>
      </c>
      <c r="T117" t="s">
        <v>34</v>
      </c>
      <c r="U117" t="s">
        <v>77</v>
      </c>
    </row>
    <row r="118" spans="1:19" ht="16">
      <c r="A118" t="s">
        <v>120</v>
      </c>
      <c r="B118" t="s">
        <v>461</v>
      </c>
      <c r="C118" t="s">
        <v>80</v>
      </c>
      <c r="D118" t="s">
        <v>465</v>
      </c>
      <c r="E118" t="s">
        <v>74</v>
      </c>
      <c r="F118" t="s">
        <v>3</v>
      </c>
      <c r="G118" t="str">
        <f>HYPERLINK("https://www.facebook.com/groups/1785342108299314/posts/3443937249106450/?comment_id=3444166475750194")</f>
        <v>https://www.facebook.com/groups/1785342108299314/posts/3443937249106450/?comment_id=3444166475750194</v>
      </c>
      <c r="H118" t="s">
        <v>28</v>
      </c>
      <c r="I118" t="s">
        <v>466</v>
      </c>
      <c r="K118" t="str">
        <f>HYPERLINK("https://www.facebook.com/100065149554086")</f>
        <v>https://www.facebook.com/100065149554086</v>
      </c>
      <c r="M118" t="s">
        <v>30</v>
      </c>
      <c r="N118" t="s">
        <v>31</v>
      </c>
      <c r="O118" t="s">
        <v>290</v>
      </c>
      <c r="P118" t="str">
        <f>HYPERLINK("https://www.facebook.com/1785342108299314")</f>
        <v>https://www.facebook.com/1785342108299314</v>
      </c>
      <c r="Q118">
        <v>13241</v>
      </c>
      <c r="R118" t="s">
        <v>32</v>
      </c>
      <c r="S118" t="s">
        <v>85</v>
      </c>
    </row>
    <row r="119" spans="1:19" ht="16">
      <c r="A119" t="s">
        <v>120</v>
      </c>
      <c r="B119" t="s">
        <v>461</v>
      </c>
      <c r="C119" t="s">
        <v>80</v>
      </c>
      <c r="D119" t="s">
        <v>467</v>
      </c>
      <c r="E119" t="s">
        <v>74</v>
      </c>
      <c r="F119" t="s">
        <v>102</v>
      </c>
      <c r="G119" t="str">
        <f>HYPERLINK("https://www.facebook.com/groups/1785342108299314/posts/3443937249106450/?comment_id=3444166202416888")</f>
        <v>https://www.facebook.com/groups/1785342108299314/posts/3443937249106450/?comment_id=3444166202416888</v>
      </c>
      <c r="H119" t="s">
        <v>28</v>
      </c>
      <c r="I119" t="s">
        <v>468</v>
      </c>
      <c r="K119" t="str">
        <f>HYPERLINK("https://www.facebook.com/61565110801692")</f>
        <v>https://www.facebook.com/61565110801692</v>
      </c>
      <c r="M119" t="s">
        <v>40</v>
      </c>
      <c r="N119" t="s">
        <v>31</v>
      </c>
      <c r="O119" t="s">
        <v>290</v>
      </c>
      <c r="P119" t="str">
        <f>HYPERLINK("https://www.facebook.com/1785342108299314")</f>
        <v>https://www.facebook.com/1785342108299314</v>
      </c>
      <c r="Q119">
        <v>13241</v>
      </c>
      <c r="R119" t="s">
        <v>32</v>
      </c>
      <c r="S119" t="s">
        <v>33</v>
      </c>
    </row>
    <row r="120" spans="1:19" ht="16">
      <c r="A120" t="s">
        <v>120</v>
      </c>
      <c r="B120" t="s">
        <v>461</v>
      </c>
      <c r="C120" t="s">
        <v>80</v>
      </c>
      <c r="D120" t="s">
        <v>469</v>
      </c>
      <c r="E120" t="s">
        <v>74</v>
      </c>
      <c r="F120" t="s">
        <v>3</v>
      </c>
      <c r="G120" t="str">
        <f>HYPERLINK("https://www.facebook.com/groups/1785342108299314/posts/3443937249106450/?comment_id=3444166185750223")</f>
        <v>https://www.facebook.com/groups/1785342108299314/posts/3443937249106450/?comment_id=3444166185750223</v>
      </c>
      <c r="H120" t="s">
        <v>28</v>
      </c>
      <c r="I120" t="s">
        <v>470</v>
      </c>
      <c r="K120" t="str">
        <f>HYPERLINK("https://www.facebook.com/pfbid024RHXq6NWdd8y5rEWMQAwAFz1ZRoeyLSmPxyhAzudz5a8QT78E3PmQpKmaWFMgj29l")</f>
        <v>https://www.facebook.com/pfbid024RHXq6NWdd8y5rEWMQAwAFz1ZRoeyLSmPxyhAzudz5a8QT78E3PmQpKmaWFMgj29l</v>
      </c>
      <c r="L120">
        <v>133</v>
      </c>
      <c r="M120" t="s">
        <v>40</v>
      </c>
      <c r="N120" t="s">
        <v>31</v>
      </c>
      <c r="O120" t="s">
        <v>290</v>
      </c>
      <c r="P120" t="str">
        <f>HYPERLINK("https://www.facebook.com/1785342108299314")</f>
        <v>https://www.facebook.com/1785342108299314</v>
      </c>
      <c r="Q120">
        <v>13241</v>
      </c>
      <c r="R120" t="s">
        <v>32</v>
      </c>
      <c r="S120" t="s">
        <v>33</v>
      </c>
    </row>
    <row r="121" spans="1:22" ht="16">
      <c r="A121" t="s">
        <v>120</v>
      </c>
      <c r="B121" t="s">
        <v>471</v>
      </c>
      <c r="C121" t="s">
        <v>24</v>
      </c>
      <c r="D121" t="s">
        <v>165</v>
      </c>
      <c r="E121" t="s">
        <v>45</v>
      </c>
      <c r="F121" t="s">
        <v>46</v>
      </c>
      <c r="G121" t="str">
        <f>HYPERLINK("https://www.facebook.com/26341039955590115")</f>
        <v>https://www.facebook.com/26341039955590115</v>
      </c>
      <c r="H121" t="s">
        <v>28</v>
      </c>
      <c r="I121" t="s">
        <v>472</v>
      </c>
      <c r="J121" t="s">
        <v>473</v>
      </c>
      <c r="K121" t="str">
        <f>HYPERLINK("https://www.facebook.com/100003324068273")</f>
        <v>https://www.facebook.com/100003324068273</v>
      </c>
      <c r="M121" t="s">
        <v>30</v>
      </c>
      <c r="N121" t="s">
        <v>31</v>
      </c>
      <c r="O121" t="s">
        <v>472</v>
      </c>
      <c r="P121" t="str">
        <f>HYPERLINK("https://www.facebook.com/100003324068273")</f>
        <v>https://www.facebook.com/100003324068273</v>
      </c>
      <c r="R121" t="s">
        <v>32</v>
      </c>
      <c r="S121" t="s">
        <v>33</v>
      </c>
      <c r="T121" t="s">
        <v>34</v>
      </c>
      <c r="U121" t="s">
        <v>408</v>
      </c>
      <c r="V121" t="s">
        <v>474</v>
      </c>
    </row>
    <row r="122" spans="1:22" ht="16">
      <c r="A122" t="s">
        <v>120</v>
      </c>
      <c r="B122" t="s">
        <v>471</v>
      </c>
      <c r="C122" t="s">
        <v>24</v>
      </c>
      <c r="D122" t="s">
        <v>165</v>
      </c>
      <c r="E122" t="s">
        <v>45</v>
      </c>
      <c r="F122" t="s">
        <v>46</v>
      </c>
      <c r="G122" t="str">
        <f>HYPERLINK("https://www.facebook.com/4260621924177565")</f>
        <v>https://www.facebook.com/4260621924177565</v>
      </c>
      <c r="H122" t="s">
        <v>28</v>
      </c>
      <c r="I122" t="s">
        <v>475</v>
      </c>
      <c r="K122" t="str">
        <f>HYPERLINK("https://www.facebook.com/100006893986790")</f>
        <v>https://www.facebook.com/100006893986790</v>
      </c>
      <c r="M122" t="s">
        <v>40</v>
      </c>
      <c r="N122" t="s">
        <v>31</v>
      </c>
      <c r="O122" t="s">
        <v>475</v>
      </c>
      <c r="P122" t="str">
        <f>HYPERLINK("https://www.facebook.com/100006893986790")</f>
        <v>https://www.facebook.com/100006893986790</v>
      </c>
      <c r="R122" t="s">
        <v>32</v>
      </c>
      <c r="S122" t="s">
        <v>33</v>
      </c>
      <c r="T122" t="s">
        <v>34</v>
      </c>
      <c r="U122" t="s">
        <v>41</v>
      </c>
      <c r="V122" t="s">
        <v>42</v>
      </c>
    </row>
    <row r="123" spans="1:22" ht="16">
      <c r="A123" t="s">
        <v>120</v>
      </c>
      <c r="B123" t="s">
        <v>471</v>
      </c>
      <c r="C123" t="s">
        <v>80</v>
      </c>
      <c r="D123" t="s">
        <v>476</v>
      </c>
      <c r="E123" t="s">
        <v>74</v>
      </c>
      <c r="F123" t="s">
        <v>3</v>
      </c>
      <c r="G123" t="str">
        <f>HYPERLINK("https://www.facebook.com/groups/1785342108299314/posts/3443937249106450/?comment_id=3444165235750318")</f>
        <v>https://www.facebook.com/groups/1785342108299314/posts/3443937249106450/?comment_id=3444165235750318</v>
      </c>
      <c r="H123" t="s">
        <v>28</v>
      </c>
      <c r="I123" t="s">
        <v>477</v>
      </c>
      <c r="K123" t="str">
        <f>HYPERLINK("https://www.facebook.com/100017765621626")</f>
        <v>https://www.facebook.com/100017765621626</v>
      </c>
      <c r="M123" t="s">
        <v>30</v>
      </c>
      <c r="N123" t="s">
        <v>31</v>
      </c>
      <c r="O123" t="s">
        <v>290</v>
      </c>
      <c r="P123" t="str">
        <f t="shared" si="3" ref="P123:P134">HYPERLINK("https://www.facebook.com/1785342108299314")</f>
        <v>https://www.facebook.com/1785342108299314</v>
      </c>
      <c r="Q123">
        <v>13241</v>
      </c>
      <c r="R123" t="s">
        <v>32</v>
      </c>
      <c r="S123" t="s">
        <v>33</v>
      </c>
      <c r="T123" t="s">
        <v>34</v>
      </c>
      <c r="U123" t="s">
        <v>478</v>
      </c>
      <c r="V123" t="s">
        <v>479</v>
      </c>
    </row>
    <row r="124" spans="1:19" ht="16">
      <c r="A124" t="s">
        <v>120</v>
      </c>
      <c r="B124" t="s">
        <v>480</v>
      </c>
      <c r="C124" t="s">
        <v>80</v>
      </c>
      <c r="D124" t="s">
        <v>481</v>
      </c>
      <c r="E124" t="s">
        <v>74</v>
      </c>
      <c r="F124" t="s">
        <v>3</v>
      </c>
      <c r="G124" t="str">
        <f>HYPERLINK("https://www.facebook.com/groups/1785342108299314/posts/3443937249106450/?comment_id=3444165175750324")</f>
        <v>https://www.facebook.com/groups/1785342108299314/posts/3443937249106450/?comment_id=3444165175750324</v>
      </c>
      <c r="H124" t="s">
        <v>28</v>
      </c>
      <c r="I124" t="s">
        <v>482</v>
      </c>
      <c r="K124" t="str">
        <f>HYPERLINK("https://www.facebook.com/pfbid02c6RDNNXHfZLm227CppGpC7hxDSMGzNT8aw3g5fg4MzvEpbwV5cVGdQRXoBCXPx46l")</f>
        <v>https://www.facebook.com/pfbid02c6RDNNXHfZLm227CppGpC7hxDSMGzNT8aw3g5fg4MzvEpbwV5cVGdQRXoBCXPx46l</v>
      </c>
      <c r="M124" t="s">
        <v>40</v>
      </c>
      <c r="N124" t="s">
        <v>31</v>
      </c>
      <c r="O124" t="s">
        <v>290</v>
      </c>
      <c r="P124" t="str">
        <f t="shared" si="3"/>
        <v>https://www.facebook.com/1785342108299314</v>
      </c>
      <c r="Q124">
        <v>13241</v>
      </c>
      <c r="R124" t="s">
        <v>32</v>
      </c>
      <c r="S124" t="s">
        <v>85</v>
      </c>
    </row>
    <row r="125" spans="1:19" ht="16">
      <c r="A125" t="s">
        <v>120</v>
      </c>
      <c r="B125" t="s">
        <v>480</v>
      </c>
      <c r="C125" t="s">
        <v>80</v>
      </c>
      <c r="D125" t="s">
        <v>483</v>
      </c>
      <c r="E125" t="s">
        <v>74</v>
      </c>
      <c r="F125" t="s">
        <v>3</v>
      </c>
      <c r="G125" t="str">
        <f>HYPERLINK("https://www.facebook.com/groups/1785342108299314/posts/3443937249106450/?comment_id=3444137709086404&amp;reply_comment_id=3444165049083670")</f>
        <v>https://www.facebook.com/groups/1785342108299314/posts/3443937249106450/?comment_id=3444137709086404&amp;reply_comment_id=3444165049083670</v>
      </c>
      <c r="H125" t="s">
        <v>28</v>
      </c>
      <c r="I125" t="s">
        <v>484</v>
      </c>
      <c r="K125" t="str">
        <f>HYPERLINK("https://www.facebook.com/61574018173116")</f>
        <v>https://www.facebook.com/61574018173116</v>
      </c>
      <c r="M125" t="s">
        <v>30</v>
      </c>
      <c r="N125" t="s">
        <v>31</v>
      </c>
      <c r="O125" t="s">
        <v>290</v>
      </c>
      <c r="P125" t="str">
        <f t="shared" si="3"/>
        <v>https://www.facebook.com/1785342108299314</v>
      </c>
      <c r="Q125">
        <v>13241</v>
      </c>
      <c r="R125" t="s">
        <v>32</v>
      </c>
      <c r="S125" t="s">
        <v>33</v>
      </c>
    </row>
    <row r="126" spans="1:22" ht="16">
      <c r="A126" t="s">
        <v>120</v>
      </c>
      <c r="B126" t="s">
        <v>480</v>
      </c>
      <c r="C126" t="s">
        <v>80</v>
      </c>
      <c r="D126" t="s">
        <v>485</v>
      </c>
      <c r="E126" t="s">
        <v>74</v>
      </c>
      <c r="F126" t="s">
        <v>3</v>
      </c>
      <c r="G126" t="str">
        <f>HYPERLINK("https://www.facebook.com/groups/1785342108299314/posts/3443937249106450/?comment_id=3444164475750394")</f>
        <v>https://www.facebook.com/groups/1785342108299314/posts/3443937249106450/?comment_id=3444164475750394</v>
      </c>
      <c r="H126" t="s">
        <v>28</v>
      </c>
      <c r="I126" t="s">
        <v>486</v>
      </c>
      <c r="K126" t="str">
        <f>HYPERLINK("https://www.facebook.com/100054630933391")</f>
        <v>https://www.facebook.com/100054630933391</v>
      </c>
      <c r="M126" t="s">
        <v>30</v>
      </c>
      <c r="N126" t="s">
        <v>31</v>
      </c>
      <c r="O126" t="s">
        <v>290</v>
      </c>
      <c r="P126" t="str">
        <f t="shared" si="3"/>
        <v>https://www.facebook.com/1785342108299314</v>
      </c>
      <c r="Q126">
        <v>13241</v>
      </c>
      <c r="R126" t="s">
        <v>32</v>
      </c>
      <c r="S126" t="s">
        <v>33</v>
      </c>
      <c r="T126" t="s">
        <v>34</v>
      </c>
      <c r="U126" t="s">
        <v>487</v>
      </c>
      <c r="V126" t="s">
        <v>488</v>
      </c>
    </row>
    <row r="127" spans="1:21" ht="16">
      <c r="A127" t="s">
        <v>120</v>
      </c>
      <c r="B127" t="s">
        <v>480</v>
      </c>
      <c r="C127" t="s">
        <v>80</v>
      </c>
      <c r="D127" t="s">
        <v>489</v>
      </c>
      <c r="E127" t="s">
        <v>74</v>
      </c>
      <c r="F127" t="s">
        <v>3</v>
      </c>
      <c r="G127" t="str">
        <f>HYPERLINK("https://www.facebook.com/groups/1785342108299314/posts/3443937249106450/?comment_id=3444164425750399")</f>
        <v>https://www.facebook.com/groups/1785342108299314/posts/3443937249106450/?comment_id=3444164425750399</v>
      </c>
      <c r="H127" t="s">
        <v>28</v>
      </c>
      <c r="I127" t="s">
        <v>490</v>
      </c>
      <c r="J127" t="s">
        <v>491</v>
      </c>
      <c r="K127" t="str">
        <f>HYPERLINK("https://www.facebook.com/pfbid0ghSMo7kQxcjiDw4beaEx4aDRfAuV6wjDAFpmTfVzaBixc9aYsxtXCacV3vqRDCo2l")</f>
        <v>https://www.facebook.com/pfbid0ghSMo7kQxcjiDw4beaEx4aDRfAuV6wjDAFpmTfVzaBixc9aYsxtXCacV3vqRDCo2l</v>
      </c>
      <c r="M127" t="s">
        <v>30</v>
      </c>
      <c r="N127" t="s">
        <v>31</v>
      </c>
      <c r="O127" t="s">
        <v>290</v>
      </c>
      <c r="P127" t="str">
        <f t="shared" si="3"/>
        <v>https://www.facebook.com/1785342108299314</v>
      </c>
      <c r="Q127">
        <v>13241</v>
      </c>
      <c r="R127" t="s">
        <v>32</v>
      </c>
      <c r="S127" t="s">
        <v>33</v>
      </c>
      <c r="T127" t="s">
        <v>34</v>
      </c>
      <c r="U127" t="s">
        <v>309</v>
      </c>
    </row>
    <row r="128" spans="1:22" ht="16">
      <c r="A128" t="s">
        <v>120</v>
      </c>
      <c r="B128" t="s">
        <v>492</v>
      </c>
      <c r="C128" t="s">
        <v>80</v>
      </c>
      <c r="D128" t="s">
        <v>493</v>
      </c>
      <c r="E128" t="s">
        <v>74</v>
      </c>
      <c r="F128" t="s">
        <v>3</v>
      </c>
      <c r="G128" t="str">
        <f>HYPERLINK("https://www.facebook.com/groups/1785342108299314/posts/3443937249106450/?comment_id=3444147692418739&amp;reply_comment_id=3444164202417088")</f>
        <v>https://www.facebook.com/groups/1785342108299314/posts/3443937249106450/?comment_id=3444147692418739&amp;reply_comment_id=3444164202417088</v>
      </c>
      <c r="H128" t="s">
        <v>28</v>
      </c>
      <c r="I128" t="s">
        <v>494</v>
      </c>
      <c r="K128" t="str">
        <f>HYPERLINK("https://www.facebook.com/100046187301060")</f>
        <v>https://www.facebook.com/100046187301060</v>
      </c>
      <c r="M128" t="s">
        <v>40</v>
      </c>
      <c r="N128" t="s">
        <v>31</v>
      </c>
      <c r="O128" t="s">
        <v>290</v>
      </c>
      <c r="P128" t="str">
        <f t="shared" si="3"/>
        <v>https://www.facebook.com/1785342108299314</v>
      </c>
      <c r="Q128">
        <v>13241</v>
      </c>
      <c r="R128" t="s">
        <v>32</v>
      </c>
      <c r="S128" t="s">
        <v>85</v>
      </c>
      <c r="T128" t="s">
        <v>34</v>
      </c>
      <c r="U128" t="s">
        <v>167</v>
      </c>
      <c r="V128" t="s">
        <v>495</v>
      </c>
    </row>
    <row r="129" spans="1:19" ht="16">
      <c r="A129" t="s">
        <v>120</v>
      </c>
      <c r="B129" t="s">
        <v>492</v>
      </c>
      <c r="C129" t="s">
        <v>80</v>
      </c>
      <c r="D129" t="s">
        <v>496</v>
      </c>
      <c r="E129" t="s">
        <v>74</v>
      </c>
      <c r="F129" t="s">
        <v>3</v>
      </c>
      <c r="G129" t="str">
        <f>HYPERLINK("https://www.facebook.com/groups/1785342108299314/posts/3443937249106450/?comment_id=3444142862419222&amp;reply_comment_id=3444164062417102")</f>
        <v>https://www.facebook.com/groups/1785342108299314/posts/3443937249106450/?comment_id=3444142862419222&amp;reply_comment_id=3444164062417102</v>
      </c>
      <c r="H129" t="s">
        <v>28</v>
      </c>
      <c r="I129" t="s">
        <v>484</v>
      </c>
      <c r="K129" t="str">
        <f>HYPERLINK("https://www.facebook.com/61574018173116")</f>
        <v>https://www.facebook.com/61574018173116</v>
      </c>
      <c r="M129" t="s">
        <v>30</v>
      </c>
      <c r="N129" t="s">
        <v>31</v>
      </c>
      <c r="O129" t="s">
        <v>290</v>
      </c>
      <c r="P129" t="str">
        <f t="shared" si="3"/>
        <v>https://www.facebook.com/1785342108299314</v>
      </c>
      <c r="Q129">
        <v>13241</v>
      </c>
      <c r="R129" t="s">
        <v>32</v>
      </c>
      <c r="S129" t="s">
        <v>85</v>
      </c>
    </row>
    <row r="130" spans="1:22" ht="16">
      <c r="A130" t="s">
        <v>120</v>
      </c>
      <c r="B130" t="s">
        <v>492</v>
      </c>
      <c r="C130" t="s">
        <v>80</v>
      </c>
      <c r="D130" t="s">
        <v>497</v>
      </c>
      <c r="E130" t="s">
        <v>74</v>
      </c>
      <c r="F130" t="s">
        <v>3</v>
      </c>
      <c r="G130" t="str">
        <f>HYPERLINK("https://www.facebook.com/groups/1785342108299314/posts/3443937249106450/?comment_id=3444163839083791")</f>
        <v>https://www.facebook.com/groups/1785342108299314/posts/3443937249106450/?comment_id=3444163839083791</v>
      </c>
      <c r="H130" t="s">
        <v>28</v>
      </c>
      <c r="I130" t="s">
        <v>498</v>
      </c>
      <c r="J130" t="s">
        <v>499</v>
      </c>
      <c r="K130" t="str">
        <f>HYPERLINK("https://www.facebook.com/100027533374262")</f>
        <v>https://www.facebook.com/100027533374262</v>
      </c>
      <c r="M130" t="s">
        <v>40</v>
      </c>
      <c r="N130" t="s">
        <v>31</v>
      </c>
      <c r="O130" t="s">
        <v>290</v>
      </c>
      <c r="P130" t="str">
        <f t="shared" si="3"/>
        <v>https://www.facebook.com/1785342108299314</v>
      </c>
      <c r="Q130">
        <v>13241</v>
      </c>
      <c r="R130" t="s">
        <v>32</v>
      </c>
      <c r="S130" t="s">
        <v>33</v>
      </c>
      <c r="T130" t="s">
        <v>34</v>
      </c>
      <c r="U130" t="s">
        <v>384</v>
      </c>
      <c r="V130" t="s">
        <v>500</v>
      </c>
    </row>
    <row r="131" spans="1:19" ht="16">
      <c r="A131" t="s">
        <v>120</v>
      </c>
      <c r="B131" t="s">
        <v>501</v>
      </c>
      <c r="C131" t="s">
        <v>80</v>
      </c>
      <c r="D131" t="s">
        <v>502</v>
      </c>
      <c r="E131" t="s">
        <v>74</v>
      </c>
      <c r="F131" t="s">
        <v>3</v>
      </c>
      <c r="G131" t="str">
        <f>HYPERLINK("https://www.facebook.com/groups/1785342108299314/posts/3443937249106450/?comment_id=3444163622417146")</f>
        <v>https://www.facebook.com/groups/1785342108299314/posts/3443937249106450/?comment_id=3444163622417146</v>
      </c>
      <c r="H131" t="s">
        <v>28</v>
      </c>
      <c r="I131" t="s">
        <v>503</v>
      </c>
      <c r="K131" t="str">
        <f>HYPERLINK("https://www.facebook.com/100010449122597")</f>
        <v>https://www.facebook.com/100010449122597</v>
      </c>
      <c r="M131" t="s">
        <v>40</v>
      </c>
      <c r="N131" t="s">
        <v>31</v>
      </c>
      <c r="O131" t="s">
        <v>290</v>
      </c>
      <c r="P131" t="str">
        <f t="shared" si="3"/>
        <v>https://www.facebook.com/1785342108299314</v>
      </c>
      <c r="Q131">
        <v>13241</v>
      </c>
      <c r="R131" t="s">
        <v>32</v>
      </c>
      <c r="S131" t="s">
        <v>33</v>
      </c>
    </row>
    <row r="132" spans="1:19" ht="16">
      <c r="A132" t="s">
        <v>120</v>
      </c>
      <c r="B132" t="s">
        <v>504</v>
      </c>
      <c r="C132" t="s">
        <v>80</v>
      </c>
      <c r="D132" t="s">
        <v>505</v>
      </c>
      <c r="E132" t="s">
        <v>74</v>
      </c>
      <c r="F132" t="s">
        <v>3</v>
      </c>
      <c r="G132" t="str">
        <f>HYPERLINK("https://www.facebook.com/groups/1785342108299314/posts/3443937249106450/?comment_id=3444147692418739&amp;reply_comment_id=3444162569083918")</f>
        <v>https://www.facebook.com/groups/1785342108299314/posts/3443937249106450/?comment_id=3444147692418739&amp;reply_comment_id=3444162569083918</v>
      </c>
      <c r="H132" t="s">
        <v>28</v>
      </c>
      <c r="I132" t="s">
        <v>484</v>
      </c>
      <c r="K132" t="str">
        <f>HYPERLINK("https://www.facebook.com/61574018173116")</f>
        <v>https://www.facebook.com/61574018173116</v>
      </c>
      <c r="M132" t="s">
        <v>30</v>
      </c>
      <c r="N132" t="s">
        <v>31</v>
      </c>
      <c r="O132" t="s">
        <v>290</v>
      </c>
      <c r="P132" t="str">
        <f t="shared" si="3"/>
        <v>https://www.facebook.com/1785342108299314</v>
      </c>
      <c r="Q132">
        <v>13241</v>
      </c>
      <c r="R132" t="s">
        <v>32</v>
      </c>
      <c r="S132" t="s">
        <v>85</v>
      </c>
    </row>
    <row r="133" spans="1:19" ht="16">
      <c r="A133" t="s">
        <v>120</v>
      </c>
      <c r="B133" t="s">
        <v>504</v>
      </c>
      <c r="C133" t="s">
        <v>80</v>
      </c>
      <c r="D133" t="s">
        <v>506</v>
      </c>
      <c r="E133" t="s">
        <v>74</v>
      </c>
      <c r="F133" t="s">
        <v>3</v>
      </c>
      <c r="G133" t="str">
        <f>HYPERLINK("https://www.facebook.com/groups/1785342108299314/posts/3443937249106450/?comment_id=3444162419083933")</f>
        <v>https://www.facebook.com/groups/1785342108299314/posts/3443937249106450/?comment_id=3444162419083933</v>
      </c>
      <c r="H133" t="s">
        <v>28</v>
      </c>
      <c r="I133" t="s">
        <v>507</v>
      </c>
      <c r="K133" t="str">
        <f>HYPERLINK("https://www.facebook.com/pfbid0ncFNRHry7XpvcPkLY7dUghYHsrx54Hi887VKZG9i1PPjPAhTwAhF2jb6m5ijr62Pl")</f>
        <v>https://www.facebook.com/pfbid0ncFNRHry7XpvcPkLY7dUghYHsrx54Hi887VKZG9i1PPjPAhTwAhF2jb6m5ijr62Pl</v>
      </c>
      <c r="M133" t="s">
        <v>40</v>
      </c>
      <c r="N133" t="s">
        <v>31</v>
      </c>
      <c r="O133" t="s">
        <v>290</v>
      </c>
      <c r="P133" t="str">
        <f t="shared" si="3"/>
        <v>https://www.facebook.com/1785342108299314</v>
      </c>
      <c r="Q133">
        <v>13241</v>
      </c>
      <c r="R133" t="s">
        <v>32</v>
      </c>
      <c r="S133" t="s">
        <v>33</v>
      </c>
    </row>
    <row r="134" spans="1:19" ht="16">
      <c r="A134" t="s">
        <v>120</v>
      </c>
      <c r="B134" t="s">
        <v>504</v>
      </c>
      <c r="C134" t="s">
        <v>80</v>
      </c>
      <c r="D134" t="s">
        <v>508</v>
      </c>
      <c r="E134" t="s">
        <v>74</v>
      </c>
      <c r="F134" t="s">
        <v>3</v>
      </c>
      <c r="G134" t="str">
        <f>HYPERLINK("https://www.facebook.com/groups/1785342108299314/posts/3443937249106450/?comment_id=3444162042417304")</f>
        <v>https://www.facebook.com/groups/1785342108299314/posts/3443937249106450/?comment_id=3444162042417304</v>
      </c>
      <c r="H134" t="s">
        <v>28</v>
      </c>
      <c r="I134" t="s">
        <v>509</v>
      </c>
      <c r="K134" t="str">
        <f>HYPERLINK("https://www.facebook.com/100061424973630")</f>
        <v>https://www.facebook.com/100061424973630</v>
      </c>
      <c r="M134" t="s">
        <v>40</v>
      </c>
      <c r="N134" t="s">
        <v>31</v>
      </c>
      <c r="O134" t="s">
        <v>290</v>
      </c>
      <c r="P134" t="str">
        <f t="shared" si="3"/>
        <v>https://www.facebook.com/1785342108299314</v>
      </c>
      <c r="Q134">
        <v>13241</v>
      </c>
      <c r="R134" t="s">
        <v>32</v>
      </c>
      <c r="S134" t="s">
        <v>33</v>
      </c>
    </row>
    <row r="135" spans="1:19" ht="16">
      <c r="A135" t="s">
        <v>120</v>
      </c>
      <c r="B135" t="s">
        <v>510</v>
      </c>
      <c r="C135" t="s">
        <v>24</v>
      </c>
      <c r="D135" t="s">
        <v>165</v>
      </c>
      <c r="E135" t="s">
        <v>45</v>
      </c>
      <c r="F135" t="s">
        <v>46</v>
      </c>
      <c r="G135" t="str">
        <f>HYPERLINK("https://www.facebook.com/4411594219089439")</f>
        <v>https://www.facebook.com/4411594219089439</v>
      </c>
      <c r="H135" t="s">
        <v>28</v>
      </c>
      <c r="I135" t="s">
        <v>511</v>
      </c>
      <c r="K135" t="str">
        <f>HYPERLINK("https://www.facebook.com/100007167139476")</f>
        <v>https://www.facebook.com/100007167139476</v>
      </c>
      <c r="M135" t="s">
        <v>30</v>
      </c>
      <c r="N135" t="s">
        <v>31</v>
      </c>
      <c r="O135" t="s">
        <v>511</v>
      </c>
      <c r="P135" t="str">
        <f>HYPERLINK("https://www.facebook.com/100007167139476")</f>
        <v>https://www.facebook.com/100007167139476</v>
      </c>
      <c r="R135" t="s">
        <v>32</v>
      </c>
      <c r="S135" t="s">
        <v>33</v>
      </c>
    </row>
    <row r="136" spans="1:22" ht="16">
      <c r="A136" t="s">
        <v>120</v>
      </c>
      <c r="B136" t="s">
        <v>510</v>
      </c>
      <c r="C136" t="s">
        <v>80</v>
      </c>
      <c r="D136" t="s">
        <v>512</v>
      </c>
      <c r="E136" t="s">
        <v>74</v>
      </c>
      <c r="F136" t="s">
        <v>3</v>
      </c>
      <c r="G136" t="str">
        <f>HYPERLINK("https://www.facebook.com/groups/1785342108299314/posts/3443937249106450/?comment_id=3444160889084086")</f>
        <v>https://www.facebook.com/groups/1785342108299314/posts/3443937249106450/?comment_id=3444160889084086</v>
      </c>
      <c r="H136" t="s">
        <v>28</v>
      </c>
      <c r="I136" t="s">
        <v>513</v>
      </c>
      <c r="K136" t="str">
        <f>HYPERLINK("https://www.facebook.com/pfbid0Qmjp2xCcoz9SwNDAMUSLMdNXy1FQq1GzNBC3ePgmed9JtYdPDYmhLgUDr1mQc9Myl")</f>
        <v>https://www.facebook.com/pfbid0Qmjp2xCcoz9SwNDAMUSLMdNXy1FQq1GzNBC3ePgmed9JtYdPDYmhLgUDr1mQc9Myl</v>
      </c>
      <c r="M136" t="s">
        <v>30</v>
      </c>
      <c r="N136" t="s">
        <v>31</v>
      </c>
      <c r="O136" t="s">
        <v>290</v>
      </c>
      <c r="P136" t="str">
        <f>HYPERLINK("https://www.facebook.com/1785342108299314")</f>
        <v>https://www.facebook.com/1785342108299314</v>
      </c>
      <c r="Q136">
        <v>13241</v>
      </c>
      <c r="R136" t="s">
        <v>32</v>
      </c>
      <c r="S136" t="s">
        <v>85</v>
      </c>
      <c r="T136" t="s">
        <v>34</v>
      </c>
      <c r="U136" t="s">
        <v>58</v>
      </c>
      <c r="V136" t="s">
        <v>58</v>
      </c>
    </row>
    <row r="137" spans="1:19" ht="16">
      <c r="A137" t="s">
        <v>120</v>
      </c>
      <c r="B137" t="s">
        <v>510</v>
      </c>
      <c r="C137" t="s">
        <v>80</v>
      </c>
      <c r="D137" t="s">
        <v>514</v>
      </c>
      <c r="E137" t="s">
        <v>74</v>
      </c>
      <c r="F137" t="s">
        <v>3</v>
      </c>
      <c r="G137" t="str">
        <f>HYPERLINK("https://www.facebook.com/groups/1785342108299314/posts/3443937249106450/?comment_id=3444132792420229&amp;reply_comment_id=3444160795750762")</f>
        <v>https://www.facebook.com/groups/1785342108299314/posts/3443937249106450/?comment_id=3444132792420229&amp;reply_comment_id=3444160795750762</v>
      </c>
      <c r="H137" t="s">
        <v>28</v>
      </c>
      <c r="I137" t="s">
        <v>515</v>
      </c>
      <c r="K137" t="str">
        <f>HYPERLINK("https://www.facebook.com/100054160672356")</f>
        <v>https://www.facebook.com/100054160672356</v>
      </c>
      <c r="M137" t="s">
        <v>30</v>
      </c>
      <c r="N137" t="s">
        <v>31</v>
      </c>
      <c r="O137" t="s">
        <v>290</v>
      </c>
      <c r="P137" t="str">
        <f>HYPERLINK("https://www.facebook.com/1785342108299314")</f>
        <v>https://www.facebook.com/1785342108299314</v>
      </c>
      <c r="Q137">
        <v>13241</v>
      </c>
      <c r="R137" t="s">
        <v>32</v>
      </c>
      <c r="S137" t="s">
        <v>33</v>
      </c>
    </row>
    <row r="138" spans="1:22" ht="16">
      <c r="A138" t="s">
        <v>120</v>
      </c>
      <c r="B138" t="s">
        <v>516</v>
      </c>
      <c r="C138" t="s">
        <v>80</v>
      </c>
      <c r="D138" t="s">
        <v>517</v>
      </c>
      <c r="E138" t="s">
        <v>74</v>
      </c>
      <c r="F138" t="s">
        <v>3</v>
      </c>
      <c r="G138" t="str">
        <f>HYPERLINK("https://www.facebook.com/groups/1785342108299314/posts/3443937249106450/?comment_id=3444160109084164")</f>
        <v>https://www.facebook.com/groups/1785342108299314/posts/3443937249106450/?comment_id=3444160109084164</v>
      </c>
      <c r="H138" t="s">
        <v>28</v>
      </c>
      <c r="I138" t="s">
        <v>518</v>
      </c>
      <c r="K138" t="str">
        <f>HYPERLINK("https://www.facebook.com/pfbid02MApUhG8hFJC5eZr4xVupXjYZSmDU5uXBtvTbCJFEEssTBX5LUowAT2ecTqVjDgMZl")</f>
        <v>https://www.facebook.com/pfbid02MApUhG8hFJC5eZr4xVupXjYZSmDU5uXBtvTbCJFEEssTBX5LUowAT2ecTqVjDgMZl</v>
      </c>
      <c r="M138" t="s">
        <v>40</v>
      </c>
      <c r="N138" t="s">
        <v>31</v>
      </c>
      <c r="O138" t="s">
        <v>290</v>
      </c>
      <c r="P138" t="str">
        <f>HYPERLINK("https://www.facebook.com/1785342108299314")</f>
        <v>https://www.facebook.com/1785342108299314</v>
      </c>
      <c r="Q138">
        <v>13241</v>
      </c>
      <c r="R138" t="s">
        <v>32</v>
      </c>
      <c r="S138" t="s">
        <v>33</v>
      </c>
      <c r="T138" t="s">
        <v>34</v>
      </c>
      <c r="U138" t="s">
        <v>304</v>
      </c>
      <c r="V138" t="s">
        <v>519</v>
      </c>
    </row>
    <row r="139" spans="1:19" ht="16">
      <c r="A139" t="s">
        <v>120</v>
      </c>
      <c r="B139" t="s">
        <v>516</v>
      </c>
      <c r="C139" t="s">
        <v>80</v>
      </c>
      <c r="D139" t="s">
        <v>520</v>
      </c>
      <c r="E139" t="s">
        <v>74</v>
      </c>
      <c r="F139" t="s">
        <v>3</v>
      </c>
      <c r="G139" t="str">
        <f>HYPERLINK("https://www.facebook.com/groups/1785342108299314/posts/3443937249106450/?comment_id=3444160089084166")</f>
        <v>https://www.facebook.com/groups/1785342108299314/posts/3443937249106450/?comment_id=3444160089084166</v>
      </c>
      <c r="H139" t="s">
        <v>28</v>
      </c>
      <c r="I139" t="s">
        <v>521</v>
      </c>
      <c r="K139" t="str">
        <f>HYPERLINK("https://www.facebook.com/100086543632064")</f>
        <v>https://www.facebook.com/100086543632064</v>
      </c>
      <c r="M139" t="s">
        <v>40</v>
      </c>
      <c r="N139" t="s">
        <v>31</v>
      </c>
      <c r="O139" t="s">
        <v>290</v>
      </c>
      <c r="P139" t="str">
        <f>HYPERLINK("https://www.facebook.com/1785342108299314")</f>
        <v>https://www.facebook.com/1785342108299314</v>
      </c>
      <c r="Q139">
        <v>13241</v>
      </c>
      <c r="R139" t="s">
        <v>32</v>
      </c>
      <c r="S139" t="s">
        <v>33</v>
      </c>
    </row>
    <row r="140" spans="1:19" ht="16">
      <c r="A140" t="s">
        <v>120</v>
      </c>
      <c r="B140" t="s">
        <v>522</v>
      </c>
      <c r="C140" t="s">
        <v>80</v>
      </c>
      <c r="D140" t="s">
        <v>523</v>
      </c>
      <c r="E140" t="s">
        <v>74</v>
      </c>
      <c r="F140" t="s">
        <v>3</v>
      </c>
      <c r="G140" t="str">
        <f>HYPERLINK("https://www.facebook.com/groups/1785342108299314/posts/3443937249106450/?comment_id=3444158369084338")</f>
        <v>https://www.facebook.com/groups/1785342108299314/posts/3443937249106450/?comment_id=3444158369084338</v>
      </c>
      <c r="H140" t="s">
        <v>28</v>
      </c>
      <c r="I140" t="s">
        <v>524</v>
      </c>
      <c r="K140" t="str">
        <f>HYPERLINK("https://www.facebook.com/100022583700356")</f>
        <v>https://www.facebook.com/100022583700356</v>
      </c>
      <c r="M140" t="s">
        <v>30</v>
      </c>
      <c r="N140" t="s">
        <v>31</v>
      </c>
      <c r="O140" t="s">
        <v>290</v>
      </c>
      <c r="P140" t="str">
        <f>HYPERLINK("https://www.facebook.com/1785342108299314")</f>
        <v>https://www.facebook.com/1785342108299314</v>
      </c>
      <c r="Q140">
        <v>13241</v>
      </c>
      <c r="R140" t="s">
        <v>32</v>
      </c>
      <c r="S140" t="s">
        <v>33</v>
      </c>
    </row>
    <row r="141" spans="1:19" ht="16">
      <c r="A141" t="s">
        <v>120</v>
      </c>
      <c r="B141" t="s">
        <v>525</v>
      </c>
      <c r="C141" t="s">
        <v>24</v>
      </c>
      <c r="D141" t="s">
        <v>165</v>
      </c>
      <c r="E141" t="s">
        <v>45</v>
      </c>
      <c r="F141" t="s">
        <v>46</v>
      </c>
      <c r="G141" t="str">
        <f>HYPERLINK("https://www.facebook.com/1981164042468129")</f>
        <v>https://www.facebook.com/1981164042468129</v>
      </c>
      <c r="H141" t="s">
        <v>28</v>
      </c>
      <c r="I141" t="s">
        <v>526</v>
      </c>
      <c r="K141" t="str">
        <f>HYPERLINK("https://www.facebook.com/100017236575566")</f>
        <v>https://www.facebook.com/100017236575566</v>
      </c>
      <c r="M141" t="s">
        <v>30</v>
      </c>
      <c r="N141" t="s">
        <v>31</v>
      </c>
      <c r="O141" t="s">
        <v>526</v>
      </c>
      <c r="P141" t="str">
        <f>HYPERLINK("https://www.facebook.com/100017236575566")</f>
        <v>https://www.facebook.com/100017236575566</v>
      </c>
      <c r="R141" t="s">
        <v>32</v>
      </c>
      <c r="S141" t="s">
        <v>33</v>
      </c>
    </row>
    <row r="142" spans="1:19" ht="16">
      <c r="A142" t="s">
        <v>120</v>
      </c>
      <c r="B142" t="s">
        <v>527</v>
      </c>
      <c r="C142" t="s">
        <v>80</v>
      </c>
      <c r="D142" t="s">
        <v>528</v>
      </c>
      <c r="E142" t="s">
        <v>74</v>
      </c>
      <c r="F142" t="s">
        <v>3</v>
      </c>
      <c r="G142" t="str">
        <f>HYPERLINK("https://www.facebook.com/groups/1785342108299314/posts/3443937249106450/?comment_id=3444157102417798")</f>
        <v>https://www.facebook.com/groups/1785342108299314/posts/3443937249106450/?comment_id=3444157102417798</v>
      </c>
      <c r="H142" t="s">
        <v>28</v>
      </c>
      <c r="I142" t="s">
        <v>529</v>
      </c>
      <c r="K142" t="str">
        <f>HYPERLINK("https://www.facebook.com/100003023500012")</f>
        <v>https://www.facebook.com/100003023500012</v>
      </c>
      <c r="L142">
        <v>17</v>
      </c>
      <c r="M142" t="s">
        <v>40</v>
      </c>
      <c r="N142" t="s">
        <v>31</v>
      </c>
      <c r="O142" t="s">
        <v>290</v>
      </c>
      <c r="P142" t="str">
        <f>HYPERLINK("https://www.facebook.com/1785342108299314")</f>
        <v>https://www.facebook.com/1785342108299314</v>
      </c>
      <c r="Q142">
        <v>13241</v>
      </c>
      <c r="R142" t="s">
        <v>32</v>
      </c>
      <c r="S142" t="s">
        <v>33</v>
      </c>
    </row>
    <row r="143" spans="1:22" ht="16">
      <c r="A143" t="s">
        <v>120</v>
      </c>
      <c r="B143" t="s">
        <v>527</v>
      </c>
      <c r="C143" t="s">
        <v>24</v>
      </c>
      <c r="D143" t="s">
        <v>165</v>
      </c>
      <c r="E143" t="s">
        <v>45</v>
      </c>
      <c r="F143" t="s">
        <v>46</v>
      </c>
      <c r="G143" t="str">
        <f>HYPERLINK("https://www.facebook.com/34099537563024827")</f>
        <v>https://www.facebook.com/34099537563024827</v>
      </c>
      <c r="H143" t="s">
        <v>28</v>
      </c>
      <c r="I143" t="s">
        <v>530</v>
      </c>
      <c r="J143" t="s">
        <v>531</v>
      </c>
      <c r="K143" t="str">
        <f>HYPERLINK("https://www.facebook.com/100001860588296")</f>
        <v>https://www.facebook.com/100001860588296</v>
      </c>
      <c r="M143" t="s">
        <v>40</v>
      </c>
      <c r="N143" t="s">
        <v>31</v>
      </c>
      <c r="O143" t="s">
        <v>530</v>
      </c>
      <c r="P143" t="str">
        <f>HYPERLINK("https://www.facebook.com/100001860588296")</f>
        <v>https://www.facebook.com/100001860588296</v>
      </c>
      <c r="R143" t="s">
        <v>32</v>
      </c>
      <c r="S143" t="s">
        <v>33</v>
      </c>
      <c r="T143" t="s">
        <v>34</v>
      </c>
      <c r="U143" t="s">
        <v>41</v>
      </c>
      <c r="V143" t="s">
        <v>532</v>
      </c>
    </row>
    <row r="144" spans="1:19" ht="16">
      <c r="A144" t="s">
        <v>120</v>
      </c>
      <c r="B144" t="s">
        <v>533</v>
      </c>
      <c r="C144" t="s">
        <v>80</v>
      </c>
      <c r="D144" t="s">
        <v>534</v>
      </c>
      <c r="E144" t="s">
        <v>74</v>
      </c>
      <c r="F144" t="s">
        <v>3</v>
      </c>
      <c r="G144" t="str">
        <f>HYPERLINK("https://www.facebook.com/groups/1785342108299314/posts/3443937249106450/?comment_id=3444156332417875")</f>
        <v>https://www.facebook.com/groups/1785342108299314/posts/3443937249106450/?comment_id=3444156332417875</v>
      </c>
      <c r="H144" t="s">
        <v>28</v>
      </c>
      <c r="I144" t="s">
        <v>535</v>
      </c>
      <c r="K144" t="str">
        <f>HYPERLINK("https://www.facebook.com/100053663644969")</f>
        <v>https://www.facebook.com/100053663644969</v>
      </c>
      <c r="M144" t="s">
        <v>30</v>
      </c>
      <c r="N144" t="s">
        <v>31</v>
      </c>
      <c r="O144" t="s">
        <v>290</v>
      </c>
      <c r="P144" t="str">
        <f>HYPERLINK("https://www.facebook.com/1785342108299314")</f>
        <v>https://www.facebook.com/1785342108299314</v>
      </c>
      <c r="Q144">
        <v>13241</v>
      </c>
      <c r="R144" t="s">
        <v>32</v>
      </c>
      <c r="S144" t="s">
        <v>33</v>
      </c>
    </row>
    <row r="145" spans="1:19" ht="16">
      <c r="A145" t="s">
        <v>120</v>
      </c>
      <c r="B145" t="s">
        <v>533</v>
      </c>
      <c r="C145" t="s">
        <v>80</v>
      </c>
      <c r="D145" t="s">
        <v>536</v>
      </c>
      <c r="E145" t="s">
        <v>74</v>
      </c>
      <c r="F145" t="s">
        <v>3</v>
      </c>
      <c r="G145" t="str">
        <f>HYPERLINK("https://www.facebook.com/groups/1785342108299314/posts/3443937249106450/?comment_id=3444155589084616")</f>
        <v>https://www.facebook.com/groups/1785342108299314/posts/3443937249106450/?comment_id=3444155589084616</v>
      </c>
      <c r="H145" t="s">
        <v>28</v>
      </c>
      <c r="I145" t="s">
        <v>537</v>
      </c>
      <c r="K145" t="str">
        <f>HYPERLINK("https://www.facebook.com/100085112295485")</f>
        <v>https://www.facebook.com/100085112295485</v>
      </c>
      <c r="M145" t="s">
        <v>30</v>
      </c>
      <c r="N145" t="s">
        <v>31</v>
      </c>
      <c r="O145" t="s">
        <v>290</v>
      </c>
      <c r="P145" t="str">
        <f>HYPERLINK("https://www.facebook.com/1785342108299314")</f>
        <v>https://www.facebook.com/1785342108299314</v>
      </c>
      <c r="Q145">
        <v>13241</v>
      </c>
      <c r="R145" t="s">
        <v>32</v>
      </c>
      <c r="S145" t="s">
        <v>33</v>
      </c>
    </row>
    <row r="146" spans="1:19" ht="16">
      <c r="A146" t="s">
        <v>120</v>
      </c>
      <c r="B146" t="s">
        <v>538</v>
      </c>
      <c r="C146" t="s">
        <v>72</v>
      </c>
      <c r="D146" t="s">
        <v>539</v>
      </c>
      <c r="E146" t="s">
        <v>74</v>
      </c>
      <c r="F146" t="s">
        <v>3</v>
      </c>
      <c r="G146" t="str">
        <f>HYPERLINK("https://www.facebook.com/permalink.php?story_fbid=pfbid022EiDACdienKpjPECyX349BaVUSYZJn3ACWNGRCFbfhcrL4SL4Kmz7CmKJrKfz1J4l&amp;id=100009468959379&amp;comment_id=1221547373295243")</f>
        <v>https://www.facebook.com/permalink.php?story_fbid=pfbid022EiDACdienKpjPECyX349BaVUSYZJn3ACWNGRCFbfhcrL4SL4Kmz7CmKJrKfz1J4l&amp;id=100009468959379&amp;comment_id=1221547373295243</v>
      </c>
      <c r="H146" t="s">
        <v>28</v>
      </c>
      <c r="I146" t="s">
        <v>540</v>
      </c>
      <c r="K146" t="str">
        <f>HYPERLINK("https://www.facebook.com/100025951530909")</f>
        <v>https://www.facebook.com/100025951530909</v>
      </c>
      <c r="M146" t="s">
        <v>30</v>
      </c>
      <c r="N146" t="s">
        <v>31</v>
      </c>
      <c r="O146" t="s">
        <v>76</v>
      </c>
      <c r="P146" t="str">
        <f>HYPERLINK("https://www.facebook.com/100009468959379")</f>
        <v>https://www.facebook.com/100009468959379</v>
      </c>
      <c r="R146" t="s">
        <v>32</v>
      </c>
      <c r="S146" t="s">
        <v>33</v>
      </c>
    </row>
    <row r="147" spans="1:22" ht="16">
      <c r="A147" t="s">
        <v>120</v>
      </c>
      <c r="B147" t="s">
        <v>538</v>
      </c>
      <c r="C147" t="s">
        <v>24</v>
      </c>
      <c r="D147" t="s">
        <v>165</v>
      </c>
      <c r="E147" t="s">
        <v>45</v>
      </c>
      <c r="F147" t="s">
        <v>46</v>
      </c>
      <c r="G147" t="str">
        <f>HYPERLINK("https://www.facebook.com/3979570235512945")</f>
        <v>https://www.facebook.com/3979570235512945</v>
      </c>
      <c r="H147" t="s">
        <v>28</v>
      </c>
      <c r="I147" t="s">
        <v>541</v>
      </c>
      <c r="K147" t="str">
        <f>HYPERLINK("https://www.facebook.com/100003800239378")</f>
        <v>https://www.facebook.com/100003800239378</v>
      </c>
      <c r="L147">
        <v>85</v>
      </c>
      <c r="M147" t="s">
        <v>30</v>
      </c>
      <c r="N147" t="s">
        <v>31</v>
      </c>
      <c r="O147" t="s">
        <v>541</v>
      </c>
      <c r="P147" t="str">
        <f>HYPERLINK("https://www.facebook.com/100003800239378")</f>
        <v>https://www.facebook.com/100003800239378</v>
      </c>
      <c r="Q147">
        <v>85</v>
      </c>
      <c r="R147" t="s">
        <v>32</v>
      </c>
      <c r="S147" t="s">
        <v>33</v>
      </c>
      <c r="T147" t="s">
        <v>34</v>
      </c>
      <c r="U147" t="s">
        <v>542</v>
      </c>
      <c r="V147" t="s">
        <v>543</v>
      </c>
    </row>
    <row r="148" spans="1:22" ht="16">
      <c r="A148" t="s">
        <v>120</v>
      </c>
      <c r="B148" t="s">
        <v>538</v>
      </c>
      <c r="C148" t="s">
        <v>80</v>
      </c>
      <c r="D148" t="s">
        <v>544</v>
      </c>
      <c r="E148" t="s">
        <v>74</v>
      </c>
      <c r="F148" t="s">
        <v>3</v>
      </c>
      <c r="G148" t="str">
        <f>HYPERLINK("https://www.facebook.com/groups/1785342108299314/posts/3443937249106450/?comment_id=3444154839084691")</f>
        <v>https://www.facebook.com/groups/1785342108299314/posts/3443937249106450/?comment_id=3444154839084691</v>
      </c>
      <c r="H148" t="s">
        <v>28</v>
      </c>
      <c r="I148" t="s">
        <v>545</v>
      </c>
      <c r="K148" t="str">
        <f>HYPERLINK("https://www.facebook.com/61554464735553")</f>
        <v>https://www.facebook.com/61554464735553</v>
      </c>
      <c r="M148" t="s">
        <v>40</v>
      </c>
      <c r="N148" t="s">
        <v>31</v>
      </c>
      <c r="O148" t="s">
        <v>290</v>
      </c>
      <c r="P148" t="str">
        <f>HYPERLINK("https://www.facebook.com/1785342108299314")</f>
        <v>https://www.facebook.com/1785342108299314</v>
      </c>
      <c r="Q148">
        <v>13241</v>
      </c>
      <c r="R148" t="s">
        <v>32</v>
      </c>
      <c r="S148" t="s">
        <v>33</v>
      </c>
      <c r="T148" t="s">
        <v>34</v>
      </c>
      <c r="U148" t="s">
        <v>167</v>
      </c>
      <c r="V148" t="s">
        <v>495</v>
      </c>
    </row>
    <row r="149" spans="1:19" ht="16">
      <c r="A149" t="s">
        <v>120</v>
      </c>
      <c r="B149" t="s">
        <v>538</v>
      </c>
      <c r="C149" t="s">
        <v>80</v>
      </c>
      <c r="D149" t="s">
        <v>546</v>
      </c>
      <c r="E149" t="s">
        <v>74</v>
      </c>
      <c r="F149" t="s">
        <v>3</v>
      </c>
      <c r="G149" t="str">
        <f>HYPERLINK("https://www.facebook.com/groups/1785342108299314/posts/3443937249106450/?comment_id=3444020362431472&amp;reply_comment_id=3444154662418042")</f>
        <v>https://www.facebook.com/groups/1785342108299314/posts/3443937249106450/?comment_id=3444020362431472&amp;reply_comment_id=3444154662418042</v>
      </c>
      <c r="H149" t="s">
        <v>28</v>
      </c>
      <c r="I149" t="s">
        <v>547</v>
      </c>
      <c r="K149" t="str">
        <f>HYPERLINK("https://www.facebook.com/pfbid0QEHZnaqXSQbduHGSR2ppbFeKjSJLdji2XFwdQHRFzbgL6ajXZ8LPSCXeHy1mM8dMl")</f>
        <v>https://www.facebook.com/pfbid0QEHZnaqXSQbduHGSR2ppbFeKjSJLdji2XFwdQHRFzbgL6ajXZ8LPSCXeHy1mM8dMl</v>
      </c>
      <c r="M149" t="s">
        <v>30</v>
      </c>
      <c r="N149" t="s">
        <v>31</v>
      </c>
      <c r="O149" t="s">
        <v>290</v>
      </c>
      <c r="P149" t="str">
        <f>HYPERLINK("https://www.facebook.com/1785342108299314")</f>
        <v>https://www.facebook.com/1785342108299314</v>
      </c>
      <c r="Q149">
        <v>13241</v>
      </c>
      <c r="R149" t="s">
        <v>32</v>
      </c>
      <c r="S149" t="s">
        <v>33</v>
      </c>
    </row>
    <row r="150" spans="1:19" ht="16">
      <c r="A150" t="s">
        <v>120</v>
      </c>
      <c r="B150" t="s">
        <v>548</v>
      </c>
      <c r="C150" t="s">
        <v>80</v>
      </c>
      <c r="D150" t="s">
        <v>549</v>
      </c>
      <c r="E150" t="s">
        <v>74</v>
      </c>
      <c r="F150" t="s">
        <v>3</v>
      </c>
      <c r="G150" t="str">
        <f>HYPERLINK("https://www.facebook.com/groups/1785342108299314/posts/3443937249106450/?comment_id=3444154015751440")</f>
        <v>https://www.facebook.com/groups/1785342108299314/posts/3443937249106450/?comment_id=3444154015751440</v>
      </c>
      <c r="H150" t="s">
        <v>28</v>
      </c>
      <c r="I150" t="s">
        <v>550</v>
      </c>
      <c r="K150" t="str">
        <f>HYPERLINK("https://www.facebook.com/100009162811358")</f>
        <v>https://www.facebook.com/100009162811358</v>
      </c>
      <c r="M150" t="s">
        <v>40</v>
      </c>
      <c r="N150" t="s">
        <v>31</v>
      </c>
      <c r="O150" t="s">
        <v>290</v>
      </c>
      <c r="P150" t="str">
        <f>HYPERLINK("https://www.facebook.com/1785342108299314")</f>
        <v>https://www.facebook.com/1785342108299314</v>
      </c>
      <c r="Q150">
        <v>13241</v>
      </c>
      <c r="R150" t="s">
        <v>32</v>
      </c>
      <c r="S150" t="s">
        <v>33</v>
      </c>
    </row>
    <row r="151" spans="1:19" ht="16">
      <c r="A151" t="s">
        <v>120</v>
      </c>
      <c r="B151" t="s">
        <v>548</v>
      </c>
      <c r="C151" t="s">
        <v>80</v>
      </c>
      <c r="D151" t="s">
        <v>551</v>
      </c>
      <c r="E151" t="s">
        <v>74</v>
      </c>
      <c r="F151" t="s">
        <v>3</v>
      </c>
      <c r="G151" t="str">
        <f>HYPERLINK("https://www.facebook.com/groups/1785342108299314/posts/3443937249106450/?comment_id=3444153695751472")</f>
        <v>https://www.facebook.com/groups/1785342108299314/posts/3443937249106450/?comment_id=3444153695751472</v>
      </c>
      <c r="H151" t="s">
        <v>28</v>
      </c>
      <c r="I151" t="s">
        <v>552</v>
      </c>
      <c r="K151" t="str">
        <f>HYPERLINK("https://www.facebook.com/100070784640535")</f>
        <v>https://www.facebook.com/100070784640535</v>
      </c>
      <c r="M151" t="s">
        <v>30</v>
      </c>
      <c r="N151" t="s">
        <v>31</v>
      </c>
      <c r="O151" t="s">
        <v>290</v>
      </c>
      <c r="P151" t="str">
        <f>HYPERLINK("https://www.facebook.com/1785342108299314")</f>
        <v>https://www.facebook.com/1785342108299314</v>
      </c>
      <c r="Q151">
        <v>13241</v>
      </c>
      <c r="R151" t="s">
        <v>32</v>
      </c>
      <c r="S151" t="s">
        <v>85</v>
      </c>
    </row>
    <row r="152" spans="1:19" ht="16">
      <c r="A152" t="s">
        <v>120</v>
      </c>
      <c r="B152" t="s">
        <v>553</v>
      </c>
      <c r="C152" t="s">
        <v>80</v>
      </c>
      <c r="D152" t="s">
        <v>554</v>
      </c>
      <c r="E152" t="s">
        <v>74</v>
      </c>
      <c r="F152" t="s">
        <v>3</v>
      </c>
      <c r="G152" t="str">
        <f>HYPERLINK("https://www.facebook.com/groups/1785342108299314/posts/3443937249106450/?comment_id=3444152915751550")</f>
        <v>https://www.facebook.com/groups/1785342108299314/posts/3443937249106450/?comment_id=3444152915751550</v>
      </c>
      <c r="H152" t="s">
        <v>28</v>
      </c>
      <c r="I152" t="s">
        <v>552</v>
      </c>
      <c r="K152" t="str">
        <f>HYPERLINK("https://www.facebook.com/100070784640535")</f>
        <v>https://www.facebook.com/100070784640535</v>
      </c>
      <c r="M152" t="s">
        <v>30</v>
      </c>
      <c r="N152" t="s">
        <v>31</v>
      </c>
      <c r="O152" t="s">
        <v>290</v>
      </c>
      <c r="P152" t="str">
        <f>HYPERLINK("https://www.facebook.com/1785342108299314")</f>
        <v>https://www.facebook.com/1785342108299314</v>
      </c>
      <c r="Q152">
        <v>13241</v>
      </c>
      <c r="R152" t="s">
        <v>32</v>
      </c>
      <c r="S152" t="s">
        <v>33</v>
      </c>
    </row>
    <row r="153" spans="1:19" ht="16">
      <c r="A153" t="s">
        <v>120</v>
      </c>
      <c r="B153" t="s">
        <v>553</v>
      </c>
      <c r="C153" t="s">
        <v>72</v>
      </c>
      <c r="D153" t="s">
        <v>555</v>
      </c>
      <c r="E153" t="s">
        <v>74</v>
      </c>
      <c r="F153" t="s">
        <v>3</v>
      </c>
      <c r="G153" t="str">
        <f>HYPERLINK("https://www.facebook.com/permalink.php?story_fbid=pfbid022EiDACdienKpjPECyX349BaVUSYZJn3ACWNGRCFbfhcrL4SL4Kmz7CmKJrKfz1J4l&amp;id=100009468959379&amp;comment_id=2103062307117924")</f>
        <v>https://www.facebook.com/permalink.php?story_fbid=pfbid022EiDACdienKpjPECyX349BaVUSYZJn3ACWNGRCFbfhcrL4SL4Kmz7CmKJrKfz1J4l&amp;id=100009468959379&amp;comment_id=2103062307117924</v>
      </c>
      <c r="H153" t="s">
        <v>28</v>
      </c>
      <c r="I153" t="s">
        <v>556</v>
      </c>
      <c r="J153" t="s">
        <v>557</v>
      </c>
      <c r="K153" t="str">
        <f>HYPERLINK("https://www.facebook.com/100002070920056")</f>
        <v>https://www.facebook.com/100002070920056</v>
      </c>
      <c r="M153" t="s">
        <v>40</v>
      </c>
      <c r="N153" t="s">
        <v>31</v>
      </c>
      <c r="O153" t="s">
        <v>76</v>
      </c>
      <c r="P153" t="str">
        <f>HYPERLINK("https://www.facebook.com/100009468959379")</f>
        <v>https://www.facebook.com/100009468959379</v>
      </c>
      <c r="R153" t="s">
        <v>32</v>
      </c>
      <c r="S153" t="s">
        <v>33</v>
      </c>
    </row>
    <row r="154" spans="1:19" ht="16">
      <c r="A154" t="s">
        <v>120</v>
      </c>
      <c r="B154" t="s">
        <v>558</v>
      </c>
      <c r="C154" t="s">
        <v>80</v>
      </c>
      <c r="D154" t="s">
        <v>559</v>
      </c>
      <c r="E154" t="s">
        <v>74</v>
      </c>
      <c r="F154" t="s">
        <v>3</v>
      </c>
      <c r="G154" t="str">
        <f>HYPERLINK("https://www.facebook.com/groups/1785342108299314/posts/3443937249106450/?comment_id=3444151202418388")</f>
        <v>https://www.facebook.com/groups/1785342108299314/posts/3443937249106450/?comment_id=3444151202418388</v>
      </c>
      <c r="H154" t="s">
        <v>28</v>
      </c>
      <c r="I154" t="s">
        <v>560</v>
      </c>
      <c r="K154" t="str">
        <f>HYPERLINK("https://www.facebook.com/100052545304547")</f>
        <v>https://www.facebook.com/100052545304547</v>
      </c>
      <c r="M154" t="s">
        <v>30</v>
      </c>
      <c r="N154" t="s">
        <v>31</v>
      </c>
      <c r="O154" t="s">
        <v>290</v>
      </c>
      <c r="P154" t="str">
        <f>HYPERLINK("https://www.facebook.com/1785342108299314")</f>
        <v>https://www.facebook.com/1785342108299314</v>
      </c>
      <c r="Q154">
        <v>13241</v>
      </c>
      <c r="R154" t="s">
        <v>32</v>
      </c>
      <c r="S154" t="s">
        <v>33</v>
      </c>
    </row>
    <row r="155" spans="1:22" ht="16">
      <c r="A155" t="s">
        <v>120</v>
      </c>
      <c r="B155" t="s">
        <v>558</v>
      </c>
      <c r="C155" t="s">
        <v>80</v>
      </c>
      <c r="D155" t="s">
        <v>330</v>
      </c>
      <c r="E155" t="s">
        <v>74</v>
      </c>
      <c r="F155" t="s">
        <v>3</v>
      </c>
      <c r="G155" t="str">
        <f>HYPERLINK("https://www.facebook.com/groups/1785342108299314/posts/3443937249106450/?comment_id=3444151099085065")</f>
        <v>https://www.facebook.com/groups/1785342108299314/posts/3443937249106450/?comment_id=3444151099085065</v>
      </c>
      <c r="H155" t="s">
        <v>28</v>
      </c>
      <c r="I155" t="s">
        <v>561</v>
      </c>
      <c r="K155" t="str">
        <f>HYPERLINK("https://www.facebook.com/pfbid025o1VH3KzLeroi1BCBtNU6EhqHf4kUCe3ZtMXbKcpqtyL2g55vSswR1SbH6XESMs9l")</f>
        <v>https://www.facebook.com/pfbid025o1VH3KzLeroi1BCBtNU6EhqHf4kUCe3ZtMXbKcpqtyL2g55vSswR1SbH6XESMs9l</v>
      </c>
      <c r="M155" t="s">
        <v>30</v>
      </c>
      <c r="N155" t="s">
        <v>31</v>
      </c>
      <c r="O155" t="s">
        <v>290</v>
      </c>
      <c r="P155" t="str">
        <f>HYPERLINK("https://www.facebook.com/1785342108299314")</f>
        <v>https://www.facebook.com/1785342108299314</v>
      </c>
      <c r="Q155">
        <v>13241</v>
      </c>
      <c r="R155" t="s">
        <v>32</v>
      </c>
      <c r="S155" t="s">
        <v>85</v>
      </c>
      <c r="T155" t="s">
        <v>34</v>
      </c>
      <c r="U155" t="s">
        <v>167</v>
      </c>
      <c r="V155" t="s">
        <v>189</v>
      </c>
    </row>
    <row r="156" spans="1:22" ht="16">
      <c r="A156" t="s">
        <v>120</v>
      </c>
      <c r="B156" t="s">
        <v>558</v>
      </c>
      <c r="C156" t="s">
        <v>80</v>
      </c>
      <c r="D156" t="s">
        <v>562</v>
      </c>
      <c r="E156" t="s">
        <v>74</v>
      </c>
      <c r="F156" t="s">
        <v>3</v>
      </c>
      <c r="G156" t="str">
        <f>HYPERLINK("https://www.facebook.com/groups/1785342108299314/posts/3443937249106450/?comment_id=3444150655751776")</f>
        <v>https://www.facebook.com/groups/1785342108299314/posts/3443937249106450/?comment_id=3444150655751776</v>
      </c>
      <c r="H156" t="s">
        <v>28</v>
      </c>
      <c r="I156" t="s">
        <v>563</v>
      </c>
      <c r="K156" t="str">
        <f>HYPERLINK("https://www.facebook.com/pfbid0i17yWoRLABkmvUynjme3jGBFg2SNFKkBJABeBerRmJMJ8Ppoi5UEGuWpN4ziD6oMl")</f>
        <v>https://www.facebook.com/pfbid0i17yWoRLABkmvUynjme3jGBFg2SNFKkBJABeBerRmJMJ8Ppoi5UEGuWpN4ziD6oMl</v>
      </c>
      <c r="M156" t="s">
        <v>40</v>
      </c>
      <c r="N156" t="s">
        <v>31</v>
      </c>
      <c r="O156" t="s">
        <v>290</v>
      </c>
      <c r="P156" t="str">
        <f>HYPERLINK("https://www.facebook.com/1785342108299314")</f>
        <v>https://www.facebook.com/1785342108299314</v>
      </c>
      <c r="Q156">
        <v>13241</v>
      </c>
      <c r="R156" t="s">
        <v>32</v>
      </c>
      <c r="S156" t="s">
        <v>33</v>
      </c>
      <c r="T156" t="s">
        <v>199</v>
      </c>
      <c r="U156" t="s">
        <v>564</v>
      </c>
      <c r="V156" t="s">
        <v>564</v>
      </c>
    </row>
    <row r="157" spans="1:19" ht="16">
      <c r="A157" t="s">
        <v>120</v>
      </c>
      <c r="B157" t="s">
        <v>565</v>
      </c>
      <c r="C157" t="s">
        <v>80</v>
      </c>
      <c r="D157" t="s">
        <v>566</v>
      </c>
      <c r="E157" t="s">
        <v>74</v>
      </c>
      <c r="F157" t="s">
        <v>3</v>
      </c>
      <c r="G157" t="str">
        <f>HYPERLINK("https://www.facebook.com/groups/1785342108299314/posts/3443937249106450/?comment_id=3444150085751833")</f>
        <v>https://www.facebook.com/groups/1785342108299314/posts/3443937249106450/?comment_id=3444150085751833</v>
      </c>
      <c r="H157" t="s">
        <v>28</v>
      </c>
      <c r="I157" t="s">
        <v>380</v>
      </c>
      <c r="K157" t="str">
        <f>HYPERLINK("https://www.facebook.com/100014807656064")</f>
        <v>https://www.facebook.com/100014807656064</v>
      </c>
      <c r="M157" t="s">
        <v>40</v>
      </c>
      <c r="N157" t="s">
        <v>31</v>
      </c>
      <c r="O157" t="s">
        <v>290</v>
      </c>
      <c r="P157" t="str">
        <f>HYPERLINK("https://www.facebook.com/1785342108299314")</f>
        <v>https://www.facebook.com/1785342108299314</v>
      </c>
      <c r="Q157">
        <v>13241</v>
      </c>
      <c r="R157" t="s">
        <v>32</v>
      </c>
      <c r="S157" t="s">
        <v>33</v>
      </c>
    </row>
    <row r="158" spans="1:19" ht="16">
      <c r="A158" t="s">
        <v>120</v>
      </c>
      <c r="B158" t="s">
        <v>567</v>
      </c>
      <c r="C158" t="s">
        <v>24</v>
      </c>
      <c r="D158" t="s">
        <v>165</v>
      </c>
      <c r="E158" t="s">
        <v>45</v>
      </c>
      <c r="F158" t="s">
        <v>46</v>
      </c>
      <c r="G158" t="str">
        <f>HYPERLINK("https://www.facebook.com/5276640592560535")</f>
        <v>https://www.facebook.com/5276640592560535</v>
      </c>
      <c r="H158" t="s">
        <v>28</v>
      </c>
      <c r="I158" t="s">
        <v>568</v>
      </c>
      <c r="K158" t="str">
        <f>HYPERLINK("https://www.facebook.com/100006439406187")</f>
        <v>https://www.facebook.com/100006439406187</v>
      </c>
      <c r="M158" t="s">
        <v>40</v>
      </c>
      <c r="N158" t="s">
        <v>31</v>
      </c>
      <c r="O158" t="s">
        <v>568</v>
      </c>
      <c r="P158" t="str">
        <f>HYPERLINK("https://www.facebook.com/100006439406187")</f>
        <v>https://www.facebook.com/100006439406187</v>
      </c>
      <c r="R158" t="s">
        <v>32</v>
      </c>
      <c r="S158" t="s">
        <v>33</v>
      </c>
    </row>
    <row r="159" spans="1:22" ht="16">
      <c r="A159" t="s">
        <v>120</v>
      </c>
      <c r="B159" t="s">
        <v>569</v>
      </c>
      <c r="C159" t="s">
        <v>80</v>
      </c>
      <c r="D159" t="s">
        <v>570</v>
      </c>
      <c r="E159" t="s">
        <v>74</v>
      </c>
      <c r="F159" t="s">
        <v>3</v>
      </c>
      <c r="G159" t="str">
        <f>HYPERLINK("https://www.facebook.com/groups/1785342108299314/posts/3443937249106450/?comment_id=3444148045752037")</f>
        <v>https://www.facebook.com/groups/1785342108299314/posts/3443937249106450/?comment_id=3444148045752037</v>
      </c>
      <c r="H159" t="s">
        <v>28</v>
      </c>
      <c r="I159" t="s">
        <v>571</v>
      </c>
      <c r="K159" t="str">
        <f>HYPERLINK("https://www.facebook.com/100011478064295")</f>
        <v>https://www.facebook.com/100011478064295</v>
      </c>
      <c r="M159" t="s">
        <v>30</v>
      </c>
      <c r="N159" t="s">
        <v>31</v>
      </c>
      <c r="O159" t="s">
        <v>290</v>
      </c>
      <c r="P159" t="str">
        <f t="shared" si="4" ref="P159:P173">HYPERLINK("https://www.facebook.com/1785342108299314")</f>
        <v>https://www.facebook.com/1785342108299314</v>
      </c>
      <c r="Q159">
        <v>13241</v>
      </c>
      <c r="R159" t="s">
        <v>32</v>
      </c>
      <c r="S159" t="s">
        <v>33</v>
      </c>
      <c r="T159" t="s">
        <v>240</v>
      </c>
      <c r="U159" t="s">
        <v>572</v>
      </c>
      <c r="V159" t="s">
        <v>573</v>
      </c>
    </row>
    <row r="160" spans="1:22" ht="16">
      <c r="A160" t="s">
        <v>120</v>
      </c>
      <c r="B160" t="s">
        <v>569</v>
      </c>
      <c r="C160" t="s">
        <v>80</v>
      </c>
      <c r="D160" t="s">
        <v>574</v>
      </c>
      <c r="E160" t="s">
        <v>74</v>
      </c>
      <c r="F160" t="s">
        <v>3</v>
      </c>
      <c r="G160" t="str">
        <f>HYPERLINK("https://www.facebook.com/groups/1785342108299314/posts/3443937249106450/?comment_id=3444147692418739")</f>
        <v>https://www.facebook.com/groups/1785342108299314/posts/3443937249106450/?comment_id=3444147692418739</v>
      </c>
      <c r="H160" t="s">
        <v>28</v>
      </c>
      <c r="I160" t="s">
        <v>494</v>
      </c>
      <c r="K160" t="str">
        <f>HYPERLINK("https://www.facebook.com/100046187301060")</f>
        <v>https://www.facebook.com/100046187301060</v>
      </c>
      <c r="M160" t="s">
        <v>40</v>
      </c>
      <c r="N160" t="s">
        <v>31</v>
      </c>
      <c r="O160" t="s">
        <v>290</v>
      </c>
      <c r="P160" t="str">
        <f t="shared" si="4"/>
        <v>https://www.facebook.com/1785342108299314</v>
      </c>
      <c r="Q160">
        <v>13241</v>
      </c>
      <c r="R160" t="s">
        <v>32</v>
      </c>
      <c r="S160" t="s">
        <v>33</v>
      </c>
      <c r="T160" t="s">
        <v>34</v>
      </c>
      <c r="U160" t="s">
        <v>167</v>
      </c>
      <c r="V160" t="s">
        <v>495</v>
      </c>
    </row>
    <row r="161" spans="1:22" ht="16">
      <c r="A161" t="s">
        <v>120</v>
      </c>
      <c r="B161" t="s">
        <v>575</v>
      </c>
      <c r="C161" t="s">
        <v>80</v>
      </c>
      <c r="D161" t="s">
        <v>576</v>
      </c>
      <c r="E161" t="s">
        <v>74</v>
      </c>
      <c r="F161" t="s">
        <v>3</v>
      </c>
      <c r="G161" t="str">
        <f>HYPERLINK("https://www.facebook.com/groups/1785342108299314/posts/3443937249106450/?comment_id=3444142862419222&amp;reply_comment_id=3444147089085466")</f>
        <v>https://www.facebook.com/groups/1785342108299314/posts/3443937249106450/?comment_id=3444142862419222&amp;reply_comment_id=3444147089085466</v>
      </c>
      <c r="H161" t="s">
        <v>28</v>
      </c>
      <c r="I161" t="s">
        <v>577</v>
      </c>
      <c r="K161" t="str">
        <f>HYPERLINK("https://www.facebook.com/100018609931813")</f>
        <v>https://www.facebook.com/100018609931813</v>
      </c>
      <c r="M161" t="s">
        <v>30</v>
      </c>
      <c r="N161" t="s">
        <v>31</v>
      </c>
      <c r="O161" t="s">
        <v>290</v>
      </c>
      <c r="P161" t="str">
        <f t="shared" si="4"/>
        <v>https://www.facebook.com/1785342108299314</v>
      </c>
      <c r="Q161">
        <v>13241</v>
      </c>
      <c r="R161" t="s">
        <v>32</v>
      </c>
      <c r="S161" t="s">
        <v>33</v>
      </c>
      <c r="T161" t="s">
        <v>199</v>
      </c>
      <c r="U161" t="s">
        <v>391</v>
      </c>
      <c r="V161" t="s">
        <v>578</v>
      </c>
    </row>
    <row r="162" spans="1:19" ht="16">
      <c r="A162" t="s">
        <v>120</v>
      </c>
      <c r="B162" t="s">
        <v>579</v>
      </c>
      <c r="C162" t="s">
        <v>80</v>
      </c>
      <c r="D162" t="s">
        <v>580</v>
      </c>
      <c r="E162" t="s">
        <v>74</v>
      </c>
      <c r="F162" t="s">
        <v>3</v>
      </c>
      <c r="G162" t="str">
        <f>HYPERLINK("https://www.facebook.com/groups/1785342108299314/posts/3443937249106450/?comment_id=3444146052418903")</f>
        <v>https://www.facebook.com/groups/1785342108299314/posts/3443937249106450/?comment_id=3444146052418903</v>
      </c>
      <c r="H162" t="s">
        <v>28</v>
      </c>
      <c r="I162" t="s">
        <v>581</v>
      </c>
      <c r="K162" t="str">
        <f>HYPERLINK("https://www.facebook.com/100036082699892")</f>
        <v>https://www.facebook.com/100036082699892</v>
      </c>
      <c r="M162" t="s">
        <v>30</v>
      </c>
      <c r="N162" t="s">
        <v>31</v>
      </c>
      <c r="O162" t="s">
        <v>290</v>
      </c>
      <c r="P162" t="str">
        <f t="shared" si="4"/>
        <v>https://www.facebook.com/1785342108299314</v>
      </c>
      <c r="Q162">
        <v>13241</v>
      </c>
      <c r="R162" t="s">
        <v>32</v>
      </c>
      <c r="S162" t="s">
        <v>33</v>
      </c>
    </row>
    <row r="163" spans="1:22" ht="16">
      <c r="A163" t="s">
        <v>120</v>
      </c>
      <c r="B163" t="s">
        <v>582</v>
      </c>
      <c r="C163" t="s">
        <v>80</v>
      </c>
      <c r="D163" t="s">
        <v>583</v>
      </c>
      <c r="E163" t="s">
        <v>74</v>
      </c>
      <c r="F163" t="s">
        <v>3</v>
      </c>
      <c r="G163" t="str">
        <f>HYPERLINK("https://www.facebook.com/groups/1785342108299314/posts/3443937249106450/?comment_id=3444145659085609")</f>
        <v>https://www.facebook.com/groups/1785342108299314/posts/3443937249106450/?comment_id=3444145659085609</v>
      </c>
      <c r="H163" t="s">
        <v>28</v>
      </c>
      <c r="I163" t="s">
        <v>584</v>
      </c>
      <c r="J163" t="s">
        <v>585</v>
      </c>
      <c r="K163" t="str">
        <f>HYPERLINK("https://www.facebook.com/100026947622253")</f>
        <v>https://www.facebook.com/100026947622253</v>
      </c>
      <c r="M163" t="s">
        <v>30</v>
      </c>
      <c r="N163" t="s">
        <v>31</v>
      </c>
      <c r="O163" t="s">
        <v>290</v>
      </c>
      <c r="P163" t="str">
        <f t="shared" si="4"/>
        <v>https://www.facebook.com/1785342108299314</v>
      </c>
      <c r="Q163">
        <v>13241</v>
      </c>
      <c r="R163" t="s">
        <v>32</v>
      </c>
      <c r="S163" t="s">
        <v>33</v>
      </c>
      <c r="T163" t="s">
        <v>192</v>
      </c>
      <c r="U163" t="s">
        <v>586</v>
      </c>
      <c r="V163" t="s">
        <v>587</v>
      </c>
    </row>
    <row r="164" spans="1:22" ht="16">
      <c r="A164" t="s">
        <v>120</v>
      </c>
      <c r="B164" t="s">
        <v>582</v>
      </c>
      <c r="C164" t="s">
        <v>80</v>
      </c>
      <c r="D164" t="s">
        <v>588</v>
      </c>
      <c r="E164" t="s">
        <v>74</v>
      </c>
      <c r="F164" t="s">
        <v>3</v>
      </c>
      <c r="G164" t="str">
        <f>HYPERLINK("https://www.facebook.com/groups/1785342108299314/posts/3443937249106450/?comment_id=3444142862419222&amp;reply_comment_id=3444145652418943")</f>
        <v>https://www.facebook.com/groups/1785342108299314/posts/3443937249106450/?comment_id=3444142862419222&amp;reply_comment_id=3444145652418943</v>
      </c>
      <c r="H164" t="s">
        <v>28</v>
      </c>
      <c r="I164" t="s">
        <v>589</v>
      </c>
      <c r="K164" t="str">
        <f>HYPERLINK("https://www.facebook.com/100050390385104")</f>
        <v>https://www.facebook.com/100050390385104</v>
      </c>
      <c r="M164" t="s">
        <v>30</v>
      </c>
      <c r="N164" t="s">
        <v>31</v>
      </c>
      <c r="O164" t="s">
        <v>290</v>
      </c>
      <c r="P164" t="str">
        <f t="shared" si="4"/>
        <v>https://www.facebook.com/1785342108299314</v>
      </c>
      <c r="Q164">
        <v>13241</v>
      </c>
      <c r="R164" t="s">
        <v>32</v>
      </c>
      <c r="S164" t="s">
        <v>85</v>
      </c>
      <c r="T164" t="s">
        <v>34</v>
      </c>
      <c r="U164" t="s">
        <v>542</v>
      </c>
      <c r="V164" t="s">
        <v>590</v>
      </c>
    </row>
    <row r="165" spans="1:19" ht="16">
      <c r="A165" t="s">
        <v>120</v>
      </c>
      <c r="B165" t="s">
        <v>591</v>
      </c>
      <c r="C165" t="s">
        <v>80</v>
      </c>
      <c r="D165" t="s">
        <v>592</v>
      </c>
      <c r="E165" t="s">
        <v>74</v>
      </c>
      <c r="F165" t="s">
        <v>3</v>
      </c>
      <c r="G165" t="str">
        <f>HYPERLINK("https://www.facebook.com/groups/1785342108299314/posts/3443937249106450/?comment_id=3444144559085719")</f>
        <v>https://www.facebook.com/groups/1785342108299314/posts/3443937249106450/?comment_id=3444144559085719</v>
      </c>
      <c r="H165" t="s">
        <v>28</v>
      </c>
      <c r="I165" t="s">
        <v>593</v>
      </c>
      <c r="K165" t="str">
        <f>HYPERLINK("https://www.facebook.com/pfbid0gFfVTHdbs2MjMu5T6TdVXV5ZvnLEVZB48XtBeAopyQP2V7QHbtzrXqb1MYk3H8Bzl")</f>
        <v>https://www.facebook.com/pfbid0gFfVTHdbs2MjMu5T6TdVXV5ZvnLEVZB48XtBeAopyQP2V7QHbtzrXqb1MYk3H8Bzl</v>
      </c>
      <c r="M165" t="s">
        <v>30</v>
      </c>
      <c r="N165" t="s">
        <v>31</v>
      </c>
      <c r="O165" t="s">
        <v>290</v>
      </c>
      <c r="P165" t="str">
        <f t="shared" si="4"/>
        <v>https://www.facebook.com/1785342108299314</v>
      </c>
      <c r="Q165">
        <v>13241</v>
      </c>
      <c r="R165" t="s">
        <v>32</v>
      </c>
      <c r="S165" t="s">
        <v>33</v>
      </c>
    </row>
    <row r="166" spans="1:22" ht="16">
      <c r="A166" t="s">
        <v>120</v>
      </c>
      <c r="B166" t="s">
        <v>594</v>
      </c>
      <c r="C166" t="s">
        <v>80</v>
      </c>
      <c r="D166" t="s">
        <v>595</v>
      </c>
      <c r="E166" t="s">
        <v>74</v>
      </c>
      <c r="F166" t="s">
        <v>3</v>
      </c>
      <c r="G166" t="str">
        <f>HYPERLINK("https://www.facebook.com/groups/1785342108299314/posts/3443937249106450/?comment_id=3444142862419222")</f>
        <v>https://www.facebook.com/groups/1785342108299314/posts/3443937249106450/?comment_id=3444142862419222</v>
      </c>
      <c r="H166" t="s">
        <v>28</v>
      </c>
      <c r="I166" t="s">
        <v>577</v>
      </c>
      <c r="K166" t="str">
        <f>HYPERLINK("https://www.facebook.com/100018609931813")</f>
        <v>https://www.facebook.com/100018609931813</v>
      </c>
      <c r="M166" t="s">
        <v>30</v>
      </c>
      <c r="N166" t="s">
        <v>31</v>
      </c>
      <c r="O166" t="s">
        <v>290</v>
      </c>
      <c r="P166" t="str">
        <f t="shared" si="4"/>
        <v>https://www.facebook.com/1785342108299314</v>
      </c>
      <c r="Q166">
        <v>13241</v>
      </c>
      <c r="R166" t="s">
        <v>32</v>
      </c>
      <c r="S166" t="s">
        <v>85</v>
      </c>
      <c r="T166" t="s">
        <v>199</v>
      </c>
      <c r="U166" t="s">
        <v>391</v>
      </c>
      <c r="V166" t="s">
        <v>578</v>
      </c>
    </row>
    <row r="167" spans="1:22" ht="16">
      <c r="A167" t="s">
        <v>120</v>
      </c>
      <c r="B167" t="s">
        <v>594</v>
      </c>
      <c r="C167" t="s">
        <v>80</v>
      </c>
      <c r="D167" t="s">
        <v>596</v>
      </c>
      <c r="E167" t="s">
        <v>74</v>
      </c>
      <c r="F167" t="s">
        <v>3</v>
      </c>
      <c r="G167" t="str">
        <f>HYPERLINK("https://www.facebook.com/groups/1785342108299314/posts/3443937249106450/?comment_id=3444020362431472&amp;reply_comment_id=3444142652419243")</f>
        <v>https://www.facebook.com/groups/1785342108299314/posts/3443937249106450/?comment_id=3444020362431472&amp;reply_comment_id=3444142652419243</v>
      </c>
      <c r="H167" t="s">
        <v>28</v>
      </c>
      <c r="I167" t="s">
        <v>597</v>
      </c>
      <c r="K167" t="str">
        <f>HYPERLINK("https://www.facebook.com/pfbid02fb7TrXJziY1TMKDHYvhPT5gEybGrH54R25kKnCzFAJywQUV6qdkvZV7u7XS17tgpl")</f>
        <v>https://www.facebook.com/pfbid02fb7TrXJziY1TMKDHYvhPT5gEybGrH54R25kKnCzFAJywQUV6qdkvZV7u7XS17tgpl</v>
      </c>
      <c r="M167" t="s">
        <v>30</v>
      </c>
      <c r="N167" t="s">
        <v>31</v>
      </c>
      <c r="O167" t="s">
        <v>290</v>
      </c>
      <c r="P167" t="str">
        <f t="shared" si="4"/>
        <v>https://www.facebook.com/1785342108299314</v>
      </c>
      <c r="Q167">
        <v>13241</v>
      </c>
      <c r="R167" t="s">
        <v>32</v>
      </c>
      <c r="S167" t="s">
        <v>85</v>
      </c>
      <c r="T167" t="s">
        <v>34</v>
      </c>
      <c r="U167" t="s">
        <v>598</v>
      </c>
      <c r="V167" t="s">
        <v>599</v>
      </c>
    </row>
    <row r="168" spans="1:22" ht="16">
      <c r="A168" t="s">
        <v>120</v>
      </c>
      <c r="B168" t="s">
        <v>600</v>
      </c>
      <c r="C168" t="s">
        <v>80</v>
      </c>
      <c r="D168" t="s">
        <v>601</v>
      </c>
      <c r="E168" t="s">
        <v>74</v>
      </c>
      <c r="F168" t="s">
        <v>3</v>
      </c>
      <c r="G168" t="str">
        <f>HYPERLINK("https://www.facebook.com/groups/1785342108299314/posts/3443937249106450/?comment_id=3444020362431472&amp;reply_comment_id=3444141179086057")</f>
        <v>https://www.facebook.com/groups/1785342108299314/posts/3443937249106450/?comment_id=3444020362431472&amp;reply_comment_id=3444141179086057</v>
      </c>
      <c r="H168" t="s">
        <v>28</v>
      </c>
      <c r="I168" t="s">
        <v>597</v>
      </c>
      <c r="K168" t="str">
        <f>HYPERLINK("https://www.facebook.com/pfbid02fb7TrXJziY1TMKDHYvhPT5gEybGrH54R25kKnCzFAJywQUV6qdkvZV7u7XS17tgpl")</f>
        <v>https://www.facebook.com/pfbid02fb7TrXJziY1TMKDHYvhPT5gEybGrH54R25kKnCzFAJywQUV6qdkvZV7u7XS17tgpl</v>
      </c>
      <c r="M168" t="s">
        <v>30</v>
      </c>
      <c r="N168" t="s">
        <v>31</v>
      </c>
      <c r="O168" t="s">
        <v>290</v>
      </c>
      <c r="P168" t="str">
        <f t="shared" si="4"/>
        <v>https://www.facebook.com/1785342108299314</v>
      </c>
      <c r="Q168">
        <v>13241</v>
      </c>
      <c r="R168" t="s">
        <v>32</v>
      </c>
      <c r="S168" t="s">
        <v>85</v>
      </c>
      <c r="T168" t="s">
        <v>34</v>
      </c>
      <c r="U168" t="s">
        <v>598</v>
      </c>
      <c r="V168" t="s">
        <v>599</v>
      </c>
    </row>
    <row r="169" spans="1:22" ht="16">
      <c r="A169" t="s">
        <v>120</v>
      </c>
      <c r="B169" t="s">
        <v>602</v>
      </c>
      <c r="C169" t="s">
        <v>80</v>
      </c>
      <c r="D169" t="s">
        <v>603</v>
      </c>
      <c r="E169" t="s">
        <v>74</v>
      </c>
      <c r="F169" t="s">
        <v>3</v>
      </c>
      <c r="G169" t="str">
        <f>HYPERLINK("https://www.facebook.com/groups/1785342108299314/posts/3443937249106450/?comment_id=3444020362431472&amp;reply_comment_id=3444140385752803")</f>
        <v>https://www.facebook.com/groups/1785342108299314/posts/3443937249106450/?comment_id=3444020362431472&amp;reply_comment_id=3444140385752803</v>
      </c>
      <c r="H169" t="s">
        <v>28</v>
      </c>
      <c r="I169" t="s">
        <v>597</v>
      </c>
      <c r="K169" t="str">
        <f>HYPERLINK("https://www.facebook.com/pfbid02fb7TrXJziY1TMKDHYvhPT5gEybGrH54R25kKnCzFAJywQUV6qdkvZV7u7XS17tgpl")</f>
        <v>https://www.facebook.com/pfbid02fb7TrXJziY1TMKDHYvhPT5gEybGrH54R25kKnCzFAJywQUV6qdkvZV7u7XS17tgpl</v>
      </c>
      <c r="M169" t="s">
        <v>30</v>
      </c>
      <c r="N169" t="s">
        <v>31</v>
      </c>
      <c r="O169" t="s">
        <v>290</v>
      </c>
      <c r="P169" t="str">
        <f t="shared" si="4"/>
        <v>https://www.facebook.com/1785342108299314</v>
      </c>
      <c r="Q169">
        <v>13241</v>
      </c>
      <c r="R169" t="s">
        <v>32</v>
      </c>
      <c r="S169" t="s">
        <v>85</v>
      </c>
      <c r="T169" t="s">
        <v>34</v>
      </c>
      <c r="U169" t="s">
        <v>598</v>
      </c>
      <c r="V169" t="s">
        <v>599</v>
      </c>
    </row>
    <row r="170" spans="1:22" ht="16">
      <c r="A170" t="s">
        <v>120</v>
      </c>
      <c r="B170" t="s">
        <v>602</v>
      </c>
      <c r="C170" t="s">
        <v>80</v>
      </c>
      <c r="D170" t="s">
        <v>604</v>
      </c>
      <c r="E170" t="s">
        <v>74</v>
      </c>
      <c r="F170" t="s">
        <v>3</v>
      </c>
      <c r="G170" t="str">
        <f>HYPERLINK("https://www.facebook.com/groups/1785342108299314/posts/3443937249106450/?comment_id=3444139839086191")</f>
        <v>https://www.facebook.com/groups/1785342108299314/posts/3443937249106450/?comment_id=3444139839086191</v>
      </c>
      <c r="H170" t="s">
        <v>28</v>
      </c>
      <c r="I170" t="s">
        <v>605</v>
      </c>
      <c r="K170" t="str">
        <f>HYPERLINK("https://www.facebook.com/100052553989085")</f>
        <v>https://www.facebook.com/100052553989085</v>
      </c>
      <c r="M170" t="s">
        <v>30</v>
      </c>
      <c r="N170" t="s">
        <v>31</v>
      </c>
      <c r="O170" t="s">
        <v>290</v>
      </c>
      <c r="P170" t="str">
        <f t="shared" si="4"/>
        <v>https://www.facebook.com/1785342108299314</v>
      </c>
      <c r="Q170">
        <v>13241</v>
      </c>
      <c r="R170" t="s">
        <v>32</v>
      </c>
      <c r="S170" t="s">
        <v>33</v>
      </c>
      <c r="T170" t="s">
        <v>34</v>
      </c>
      <c r="U170" t="s">
        <v>309</v>
      </c>
      <c r="V170" t="s">
        <v>606</v>
      </c>
    </row>
    <row r="171" spans="1:19" ht="16">
      <c r="A171" t="s">
        <v>120</v>
      </c>
      <c r="B171" t="s">
        <v>602</v>
      </c>
      <c r="C171" t="s">
        <v>80</v>
      </c>
      <c r="D171" t="s">
        <v>607</v>
      </c>
      <c r="E171" t="s">
        <v>74</v>
      </c>
      <c r="F171" t="s">
        <v>3</v>
      </c>
      <c r="G171" t="str">
        <f>HYPERLINK("https://www.facebook.com/groups/1785342108299314/posts/3443937249106450/?comment_id=3444139505752891")</f>
        <v>https://www.facebook.com/groups/1785342108299314/posts/3443937249106450/?comment_id=3444139505752891</v>
      </c>
      <c r="H171" t="s">
        <v>28</v>
      </c>
      <c r="I171" t="s">
        <v>608</v>
      </c>
      <c r="K171" t="str">
        <f>HYPERLINK("https://www.facebook.com/100081716168629")</f>
        <v>https://www.facebook.com/100081716168629</v>
      </c>
      <c r="M171" t="s">
        <v>40</v>
      </c>
      <c r="N171" t="s">
        <v>31</v>
      </c>
      <c r="O171" t="s">
        <v>290</v>
      </c>
      <c r="P171" t="str">
        <f t="shared" si="4"/>
        <v>https://www.facebook.com/1785342108299314</v>
      </c>
      <c r="Q171">
        <v>13241</v>
      </c>
      <c r="R171" t="s">
        <v>32</v>
      </c>
      <c r="S171" t="s">
        <v>85</v>
      </c>
    </row>
    <row r="172" spans="1:22" ht="16">
      <c r="A172" t="s">
        <v>120</v>
      </c>
      <c r="B172" t="s">
        <v>609</v>
      </c>
      <c r="C172" t="s">
        <v>80</v>
      </c>
      <c r="D172" t="s">
        <v>610</v>
      </c>
      <c r="E172" t="s">
        <v>74</v>
      </c>
      <c r="F172" t="s">
        <v>3</v>
      </c>
      <c r="G172" t="str">
        <f>HYPERLINK("https://www.facebook.com/groups/1785342108299314/posts/3443937249106450/?comment_id=3444137709086404")</f>
        <v>https://www.facebook.com/groups/1785342108299314/posts/3443937249106450/?comment_id=3444137709086404</v>
      </c>
      <c r="H172" t="s">
        <v>28</v>
      </c>
      <c r="I172" t="s">
        <v>327</v>
      </c>
      <c r="J172" t="s">
        <v>328</v>
      </c>
      <c r="K172" t="str">
        <f>HYPERLINK("https://www.facebook.com/100003606574661")</f>
        <v>https://www.facebook.com/100003606574661</v>
      </c>
      <c r="M172" t="s">
        <v>40</v>
      </c>
      <c r="N172" t="s">
        <v>31</v>
      </c>
      <c r="O172" t="s">
        <v>290</v>
      </c>
      <c r="P172" t="str">
        <f t="shared" si="4"/>
        <v>https://www.facebook.com/1785342108299314</v>
      </c>
      <c r="Q172">
        <v>13241</v>
      </c>
      <c r="R172" t="s">
        <v>32</v>
      </c>
      <c r="S172" t="s">
        <v>33</v>
      </c>
      <c r="T172" t="s">
        <v>34</v>
      </c>
      <c r="U172" t="s">
        <v>158</v>
      </c>
      <c r="V172" t="s">
        <v>159</v>
      </c>
    </row>
    <row r="173" spans="1:19" ht="16">
      <c r="A173" t="s">
        <v>120</v>
      </c>
      <c r="B173" t="s">
        <v>611</v>
      </c>
      <c r="C173" t="s">
        <v>80</v>
      </c>
      <c r="D173" t="s">
        <v>612</v>
      </c>
      <c r="E173" t="s">
        <v>74</v>
      </c>
      <c r="F173" t="s">
        <v>3</v>
      </c>
      <c r="G173" t="str">
        <f>HYPERLINK("https://www.facebook.com/groups/1785342108299314/posts/3443937249106450/?comment_id=3444136672419841")</f>
        <v>https://www.facebook.com/groups/1785342108299314/posts/3443937249106450/?comment_id=3444136672419841</v>
      </c>
      <c r="H173" t="s">
        <v>28</v>
      </c>
      <c r="I173" t="s">
        <v>613</v>
      </c>
      <c r="K173" t="str">
        <f>HYPERLINK("https://www.facebook.com/100046160824187")</f>
        <v>https://www.facebook.com/100046160824187</v>
      </c>
      <c r="M173" t="s">
        <v>40</v>
      </c>
      <c r="N173" t="s">
        <v>31</v>
      </c>
      <c r="O173" t="s">
        <v>290</v>
      </c>
      <c r="P173" t="str">
        <f t="shared" si="4"/>
        <v>https://www.facebook.com/1785342108299314</v>
      </c>
      <c r="Q173">
        <v>13241</v>
      </c>
      <c r="R173" t="s">
        <v>32</v>
      </c>
      <c r="S173" t="s">
        <v>85</v>
      </c>
    </row>
    <row r="174" spans="1:22" ht="16">
      <c r="A174" t="s">
        <v>120</v>
      </c>
      <c r="B174" t="s">
        <v>611</v>
      </c>
      <c r="C174" t="s">
        <v>24</v>
      </c>
      <c r="D174" t="s">
        <v>165</v>
      </c>
      <c r="E174" t="s">
        <v>45</v>
      </c>
      <c r="F174" t="s">
        <v>46</v>
      </c>
      <c r="G174" t="str">
        <f>HYPERLINK("https://www.facebook.com/2711862859166404")</f>
        <v>https://www.facebook.com/2711862859166404</v>
      </c>
      <c r="H174" t="s">
        <v>28</v>
      </c>
      <c r="I174" t="s">
        <v>187</v>
      </c>
      <c r="J174" t="s">
        <v>614</v>
      </c>
      <c r="K174" t="str">
        <f>HYPERLINK("https://www.facebook.com/100010281481040")</f>
        <v>https://www.facebook.com/100010281481040</v>
      </c>
      <c r="M174" t="s">
        <v>30</v>
      </c>
      <c r="N174" t="s">
        <v>31</v>
      </c>
      <c r="O174" t="s">
        <v>187</v>
      </c>
      <c r="P174" t="str">
        <f>HYPERLINK("https://www.facebook.com/100010281481040")</f>
        <v>https://www.facebook.com/100010281481040</v>
      </c>
      <c r="R174" t="s">
        <v>32</v>
      </c>
      <c r="S174" t="s">
        <v>33</v>
      </c>
      <c r="T174" t="s">
        <v>34</v>
      </c>
      <c r="U174" t="s">
        <v>167</v>
      </c>
      <c r="V174" t="s">
        <v>189</v>
      </c>
    </row>
    <row r="175" spans="1:22" ht="16">
      <c r="A175" t="s">
        <v>120</v>
      </c>
      <c r="B175" t="s">
        <v>615</v>
      </c>
      <c r="C175" t="s">
        <v>80</v>
      </c>
      <c r="D175" t="s">
        <v>616</v>
      </c>
      <c r="E175" t="s">
        <v>74</v>
      </c>
      <c r="F175" t="s">
        <v>3</v>
      </c>
      <c r="G175" t="str">
        <f>HYPERLINK("https://www.facebook.com/groups/1785342108299314/posts/3443937249106450/?comment_id=3444135819086593")</f>
        <v>https://www.facebook.com/groups/1785342108299314/posts/3443937249106450/?comment_id=3444135819086593</v>
      </c>
      <c r="H175" t="s">
        <v>28</v>
      </c>
      <c r="I175" t="s">
        <v>617</v>
      </c>
      <c r="J175" t="s">
        <v>618</v>
      </c>
      <c r="K175" t="str">
        <f>HYPERLINK("https://www.facebook.com/pfbid02NCmwrXUxvPUWMmeD5Hk4BoDJfktfjix2udaz6ZV6DXt3FJo1u2uH4TgLXYG3jDkFl")</f>
        <v>https://www.facebook.com/pfbid02NCmwrXUxvPUWMmeD5Hk4BoDJfktfjix2udaz6ZV6DXt3FJo1u2uH4TgLXYG3jDkFl</v>
      </c>
      <c r="M175" t="s">
        <v>30</v>
      </c>
      <c r="N175" t="s">
        <v>31</v>
      </c>
      <c r="O175" t="s">
        <v>290</v>
      </c>
      <c r="P175" t="str">
        <f>HYPERLINK("https://www.facebook.com/1785342108299314")</f>
        <v>https://www.facebook.com/1785342108299314</v>
      </c>
      <c r="Q175">
        <v>13241</v>
      </c>
      <c r="R175" t="s">
        <v>32</v>
      </c>
      <c r="S175" t="s">
        <v>33</v>
      </c>
      <c r="T175" t="s">
        <v>34</v>
      </c>
      <c r="U175" t="s">
        <v>41</v>
      </c>
      <c r="V175" t="s">
        <v>42</v>
      </c>
    </row>
    <row r="176" spans="1:19" ht="16">
      <c r="A176" t="s">
        <v>120</v>
      </c>
      <c r="B176" t="s">
        <v>615</v>
      </c>
      <c r="C176" t="s">
        <v>80</v>
      </c>
      <c r="D176" t="s">
        <v>619</v>
      </c>
      <c r="E176" t="s">
        <v>74</v>
      </c>
      <c r="F176" t="s">
        <v>3</v>
      </c>
      <c r="G176" t="str">
        <f>HYPERLINK("https://www.facebook.com/groups/1785342108299314/posts/3443937249106450/?comment_id=3444135699086605")</f>
        <v>https://www.facebook.com/groups/1785342108299314/posts/3443937249106450/?comment_id=3444135699086605</v>
      </c>
      <c r="H176" t="s">
        <v>28</v>
      </c>
      <c r="I176" t="s">
        <v>620</v>
      </c>
      <c r="K176" t="str">
        <f>HYPERLINK("https://www.facebook.com/100021859600319")</f>
        <v>https://www.facebook.com/100021859600319</v>
      </c>
      <c r="M176" t="s">
        <v>30</v>
      </c>
      <c r="N176" t="s">
        <v>31</v>
      </c>
      <c r="O176" t="s">
        <v>290</v>
      </c>
      <c r="P176" t="str">
        <f>HYPERLINK("https://www.facebook.com/1785342108299314")</f>
        <v>https://www.facebook.com/1785342108299314</v>
      </c>
      <c r="Q176">
        <v>13241</v>
      </c>
      <c r="R176" t="s">
        <v>32</v>
      </c>
      <c r="S176" t="s">
        <v>33</v>
      </c>
    </row>
    <row r="177" spans="1:22" ht="16">
      <c r="A177" t="s">
        <v>120</v>
      </c>
      <c r="B177" t="s">
        <v>621</v>
      </c>
      <c r="C177" t="s">
        <v>80</v>
      </c>
      <c r="D177" t="s">
        <v>622</v>
      </c>
      <c r="E177" t="s">
        <v>74</v>
      </c>
      <c r="F177" t="s">
        <v>3</v>
      </c>
      <c r="G177" t="str">
        <f>HYPERLINK("https://www.facebook.com/groups/1785342108299314/posts/3443937249106450/?comment_id=3444134372420071")</f>
        <v>https://www.facebook.com/groups/1785342108299314/posts/3443937249106450/?comment_id=3444134372420071</v>
      </c>
      <c r="H177" t="s">
        <v>28</v>
      </c>
      <c r="I177" t="s">
        <v>623</v>
      </c>
      <c r="K177" t="str">
        <f>HYPERLINK("https://www.facebook.com/61577391684923")</f>
        <v>https://www.facebook.com/61577391684923</v>
      </c>
      <c r="M177" t="s">
        <v>40</v>
      </c>
      <c r="N177" t="s">
        <v>31</v>
      </c>
      <c r="O177" t="s">
        <v>290</v>
      </c>
      <c r="P177" t="str">
        <f>HYPERLINK("https://www.facebook.com/1785342108299314")</f>
        <v>https://www.facebook.com/1785342108299314</v>
      </c>
      <c r="Q177">
        <v>13241</v>
      </c>
      <c r="R177" t="s">
        <v>32</v>
      </c>
      <c r="S177" t="s">
        <v>33</v>
      </c>
      <c r="T177" t="s">
        <v>34</v>
      </c>
      <c r="U177" t="s">
        <v>41</v>
      </c>
      <c r="V177" t="s">
        <v>42</v>
      </c>
    </row>
    <row r="178" spans="1:22" ht="16">
      <c r="A178" t="s">
        <v>120</v>
      </c>
      <c r="B178" t="s">
        <v>624</v>
      </c>
      <c r="C178" t="s">
        <v>80</v>
      </c>
      <c r="D178" t="s">
        <v>625</v>
      </c>
      <c r="E178" t="s">
        <v>74</v>
      </c>
      <c r="F178" t="s">
        <v>3</v>
      </c>
      <c r="G178" t="str">
        <f>HYPERLINK("https://www.facebook.com/groups/1785342108299314/posts/3443937249106450/?comment_id=3444133732420135")</f>
        <v>https://www.facebook.com/groups/1785342108299314/posts/3443937249106450/?comment_id=3444133732420135</v>
      </c>
      <c r="H178" t="s">
        <v>28</v>
      </c>
      <c r="I178" t="s">
        <v>626</v>
      </c>
      <c r="K178" t="str">
        <f>HYPERLINK("https://www.facebook.com/100042303817604")</f>
        <v>https://www.facebook.com/100042303817604</v>
      </c>
      <c r="M178" t="s">
        <v>30</v>
      </c>
      <c r="N178" t="s">
        <v>31</v>
      </c>
      <c r="O178" t="s">
        <v>290</v>
      </c>
      <c r="P178" t="str">
        <f>HYPERLINK("https://www.facebook.com/1785342108299314")</f>
        <v>https://www.facebook.com/1785342108299314</v>
      </c>
      <c r="Q178">
        <v>13241</v>
      </c>
      <c r="R178" t="s">
        <v>32</v>
      </c>
      <c r="S178" t="s">
        <v>85</v>
      </c>
      <c r="T178" t="s">
        <v>34</v>
      </c>
      <c r="U178" t="s">
        <v>167</v>
      </c>
      <c r="V178" t="s">
        <v>495</v>
      </c>
    </row>
    <row r="179" spans="1:22" ht="16">
      <c r="A179" t="s">
        <v>120</v>
      </c>
      <c r="B179" t="s">
        <v>627</v>
      </c>
      <c r="C179" t="s">
        <v>80</v>
      </c>
      <c r="D179" t="s">
        <v>628</v>
      </c>
      <c r="E179" t="s">
        <v>74</v>
      </c>
      <c r="F179" t="s">
        <v>3</v>
      </c>
      <c r="G179" t="str">
        <f>HYPERLINK("https://www.facebook.com/groups/1785342108299314/posts/3443937249106450/?comment_id=3444132792420229")</f>
        <v>https://www.facebook.com/groups/1785342108299314/posts/3443937249106450/?comment_id=3444132792420229</v>
      </c>
      <c r="H179" t="s">
        <v>28</v>
      </c>
      <c r="I179" t="s">
        <v>629</v>
      </c>
      <c r="K179" t="str">
        <f>HYPERLINK("https://www.facebook.com/100060555046176")</f>
        <v>https://www.facebook.com/100060555046176</v>
      </c>
      <c r="M179" t="s">
        <v>40</v>
      </c>
      <c r="N179" t="s">
        <v>31</v>
      </c>
      <c r="O179" t="s">
        <v>290</v>
      </c>
      <c r="P179" t="str">
        <f>HYPERLINK("https://www.facebook.com/1785342108299314")</f>
        <v>https://www.facebook.com/1785342108299314</v>
      </c>
      <c r="Q179">
        <v>13241</v>
      </c>
      <c r="R179" t="s">
        <v>32</v>
      </c>
      <c r="S179" t="s">
        <v>57</v>
      </c>
      <c r="T179" t="s">
        <v>34</v>
      </c>
      <c r="U179" t="s">
        <v>304</v>
      </c>
      <c r="V179" t="s">
        <v>630</v>
      </c>
    </row>
    <row r="180" spans="1:19" ht="16">
      <c r="A180" t="s">
        <v>120</v>
      </c>
      <c r="B180" t="s">
        <v>631</v>
      </c>
      <c r="C180" t="s">
        <v>24</v>
      </c>
      <c r="D180" t="s">
        <v>165</v>
      </c>
      <c r="E180" t="s">
        <v>45</v>
      </c>
      <c r="F180" t="s">
        <v>46</v>
      </c>
      <c r="G180" t="str">
        <f>HYPERLINK("https://www.facebook.com/785745817924890")</f>
        <v>https://www.facebook.com/785745817924890</v>
      </c>
      <c r="H180" t="s">
        <v>28</v>
      </c>
      <c r="I180" t="s">
        <v>632</v>
      </c>
      <c r="K180" t="str">
        <f>HYPERLINK("https://www.facebook.com/100094684355441")</f>
        <v>https://www.facebook.com/100094684355441</v>
      </c>
      <c r="L180">
        <v>3641</v>
      </c>
      <c r="M180" t="s">
        <v>40</v>
      </c>
      <c r="N180" t="s">
        <v>31</v>
      </c>
      <c r="O180" t="s">
        <v>632</v>
      </c>
      <c r="P180" t="str">
        <f>HYPERLINK("https://www.facebook.com/100094684355441")</f>
        <v>https://www.facebook.com/100094684355441</v>
      </c>
      <c r="Q180">
        <v>3641</v>
      </c>
      <c r="R180" t="s">
        <v>32</v>
      </c>
      <c r="S180" t="s">
        <v>33</v>
      </c>
    </row>
    <row r="181" spans="1:20" ht="16">
      <c r="A181" t="s">
        <v>120</v>
      </c>
      <c r="B181" t="s">
        <v>631</v>
      </c>
      <c r="C181" t="s">
        <v>80</v>
      </c>
      <c r="D181" t="s">
        <v>633</v>
      </c>
      <c r="E181" t="s">
        <v>74</v>
      </c>
      <c r="F181" t="s">
        <v>3</v>
      </c>
      <c r="G181" t="str">
        <f>HYPERLINK("https://www.facebook.com/groups/203532743338330/posts/2751632061861706/?comment_id=2751640858527493&amp;reply_comment_id=2751681618523417")</f>
        <v>https://www.facebook.com/groups/203532743338330/posts/2751632061861706/?comment_id=2751640858527493&amp;reply_comment_id=2751681618523417</v>
      </c>
      <c r="H181" t="s">
        <v>28</v>
      </c>
      <c r="I181" t="s">
        <v>634</v>
      </c>
      <c r="K181" t="str">
        <f>HYPERLINK("https://www.facebook.com/100053448491480")</f>
        <v>https://www.facebook.com/100053448491480</v>
      </c>
      <c r="M181" t="s">
        <v>40</v>
      </c>
      <c r="N181" t="s">
        <v>31</v>
      </c>
      <c r="O181" t="s">
        <v>262</v>
      </c>
      <c r="P181" t="str">
        <f>HYPERLINK("https://www.facebook.com/203532743338330")</f>
        <v>https://www.facebook.com/203532743338330</v>
      </c>
      <c r="Q181">
        <v>26211</v>
      </c>
      <c r="R181" t="s">
        <v>32</v>
      </c>
      <c r="S181" t="s">
        <v>85</v>
      </c>
      <c r="T181" t="s">
        <v>34</v>
      </c>
    </row>
    <row r="182" spans="1:19" ht="16">
      <c r="A182" t="s">
        <v>120</v>
      </c>
      <c r="B182" t="s">
        <v>635</v>
      </c>
      <c r="C182" t="s">
        <v>24</v>
      </c>
      <c r="D182" t="s">
        <v>165</v>
      </c>
      <c r="E182" t="s">
        <v>45</v>
      </c>
      <c r="F182" t="s">
        <v>46</v>
      </c>
      <c r="G182" t="str">
        <f>HYPERLINK("https://www.facebook.com/3129599253892806")</f>
        <v>https://www.facebook.com/3129599253892806</v>
      </c>
      <c r="H182" t="s">
        <v>28</v>
      </c>
      <c r="I182" t="s">
        <v>636</v>
      </c>
      <c r="K182" t="str">
        <f>HYPERLINK("https://www.facebook.com/100005282856661")</f>
        <v>https://www.facebook.com/100005282856661</v>
      </c>
      <c r="M182" t="s">
        <v>30</v>
      </c>
      <c r="N182" t="s">
        <v>31</v>
      </c>
      <c r="O182" t="s">
        <v>636</v>
      </c>
      <c r="P182" t="str">
        <f>HYPERLINK("https://www.facebook.com/100005282856661")</f>
        <v>https://www.facebook.com/100005282856661</v>
      </c>
      <c r="R182" t="s">
        <v>32</v>
      </c>
      <c r="S182" t="s">
        <v>33</v>
      </c>
    </row>
    <row r="183" spans="1:19" ht="16">
      <c r="A183" t="s">
        <v>120</v>
      </c>
      <c r="B183" t="s">
        <v>637</v>
      </c>
      <c r="C183" t="s">
        <v>80</v>
      </c>
      <c r="D183" t="s">
        <v>638</v>
      </c>
      <c r="E183" t="s">
        <v>74</v>
      </c>
      <c r="F183" t="s">
        <v>3</v>
      </c>
      <c r="G183" t="str">
        <f>HYPERLINK("https://www.facebook.com/groups/1785342108299314/posts/3443937249106450/?comment_id=3444130049087170")</f>
        <v>https://www.facebook.com/groups/1785342108299314/posts/3443937249106450/?comment_id=3444130049087170</v>
      </c>
      <c r="H183" t="s">
        <v>28</v>
      </c>
      <c r="I183" t="s">
        <v>639</v>
      </c>
      <c r="K183" t="str">
        <f>HYPERLINK("https://www.facebook.com/100017441655955")</f>
        <v>https://www.facebook.com/100017441655955</v>
      </c>
      <c r="M183" t="s">
        <v>40</v>
      </c>
      <c r="N183" t="s">
        <v>31</v>
      </c>
      <c r="O183" t="s">
        <v>290</v>
      </c>
      <c r="P183" t="str">
        <f>HYPERLINK("https://www.facebook.com/1785342108299314")</f>
        <v>https://www.facebook.com/1785342108299314</v>
      </c>
      <c r="Q183">
        <v>13241</v>
      </c>
      <c r="R183" t="s">
        <v>32</v>
      </c>
      <c r="S183" t="s">
        <v>85</v>
      </c>
    </row>
    <row r="184" spans="1:22" ht="16">
      <c r="A184" t="s">
        <v>120</v>
      </c>
      <c r="B184" t="s">
        <v>640</v>
      </c>
      <c r="C184" t="s">
        <v>80</v>
      </c>
      <c r="D184" t="s">
        <v>641</v>
      </c>
      <c r="E184" t="s">
        <v>74</v>
      </c>
      <c r="F184" t="s">
        <v>3</v>
      </c>
      <c r="G184" t="str">
        <f>HYPERLINK("https://www.facebook.com/groups/1785342108299314/posts/3443937249106450/?comment_id=3444020362431472&amp;reply_comment_id=3444126929087482")</f>
        <v>https://www.facebook.com/groups/1785342108299314/posts/3443937249106450/?comment_id=3444020362431472&amp;reply_comment_id=3444126929087482</v>
      </c>
      <c r="H184" t="s">
        <v>28</v>
      </c>
      <c r="I184" t="s">
        <v>445</v>
      </c>
      <c r="K184" t="str">
        <f>HYPERLINK("https://www.facebook.com/pfbid02uAQcVZCHLH1F7aVG64vWgwdpwqK9sP5uUgnmA42gMfJzAdWbb4ijerBRd697xCKdl")</f>
        <v>https://www.facebook.com/pfbid02uAQcVZCHLH1F7aVG64vWgwdpwqK9sP5uUgnmA42gMfJzAdWbb4ijerBRd697xCKdl</v>
      </c>
      <c r="M184" t="s">
        <v>30</v>
      </c>
      <c r="N184" t="s">
        <v>31</v>
      </c>
      <c r="O184" t="s">
        <v>290</v>
      </c>
      <c r="P184" t="str">
        <f>HYPERLINK("https://www.facebook.com/1785342108299314")</f>
        <v>https://www.facebook.com/1785342108299314</v>
      </c>
      <c r="Q184">
        <v>13241</v>
      </c>
      <c r="R184" t="s">
        <v>32</v>
      </c>
      <c r="S184" t="s">
        <v>85</v>
      </c>
      <c r="T184" t="s">
        <v>34</v>
      </c>
      <c r="U184" t="s">
        <v>167</v>
      </c>
      <c r="V184" t="s">
        <v>446</v>
      </c>
    </row>
    <row r="185" spans="1:22" ht="16">
      <c r="A185" t="s">
        <v>120</v>
      </c>
      <c r="B185" t="s">
        <v>640</v>
      </c>
      <c r="C185" t="s">
        <v>80</v>
      </c>
      <c r="D185" t="s">
        <v>642</v>
      </c>
      <c r="E185" t="s">
        <v>74</v>
      </c>
      <c r="F185" t="s">
        <v>3</v>
      </c>
      <c r="G185" t="str">
        <f>HYPERLINK("https://www.facebook.com/groups/1785342108299314/posts/3443937249106450/?comment_id=3444020362431472&amp;reply_comment_id=3444126759087499")</f>
        <v>https://www.facebook.com/groups/1785342108299314/posts/3443937249106450/?comment_id=3444020362431472&amp;reply_comment_id=3444126759087499</v>
      </c>
      <c r="H185" t="s">
        <v>28</v>
      </c>
      <c r="I185" t="s">
        <v>445</v>
      </c>
      <c r="K185" t="str">
        <f>HYPERLINK("https://www.facebook.com/pfbid02uAQcVZCHLH1F7aVG64vWgwdpwqK9sP5uUgnmA42gMfJzAdWbb4ijerBRd697xCKdl")</f>
        <v>https://www.facebook.com/pfbid02uAQcVZCHLH1F7aVG64vWgwdpwqK9sP5uUgnmA42gMfJzAdWbb4ijerBRd697xCKdl</v>
      </c>
      <c r="M185" t="s">
        <v>30</v>
      </c>
      <c r="N185" t="s">
        <v>31</v>
      </c>
      <c r="O185" t="s">
        <v>290</v>
      </c>
      <c r="P185" t="str">
        <f>HYPERLINK("https://www.facebook.com/1785342108299314")</f>
        <v>https://www.facebook.com/1785342108299314</v>
      </c>
      <c r="Q185">
        <v>13241</v>
      </c>
      <c r="R185" t="s">
        <v>32</v>
      </c>
      <c r="S185" t="s">
        <v>85</v>
      </c>
      <c r="T185" t="s">
        <v>34</v>
      </c>
      <c r="U185" t="s">
        <v>167</v>
      </c>
      <c r="V185" t="s">
        <v>446</v>
      </c>
    </row>
    <row r="186" spans="1:19" ht="16">
      <c r="A186" t="s">
        <v>120</v>
      </c>
      <c r="B186" t="s">
        <v>643</v>
      </c>
      <c r="C186" t="s">
        <v>80</v>
      </c>
      <c r="D186" t="s">
        <v>644</v>
      </c>
      <c r="E186" t="s">
        <v>74</v>
      </c>
      <c r="F186" t="s">
        <v>3</v>
      </c>
      <c r="G186" t="str">
        <f>HYPERLINK("https://www.facebook.com/groups/1785342108299314/posts/3443937249106450/?comment_id=3444110359089139&amp;reply_comment_id=3444122932421215")</f>
        <v>https://www.facebook.com/groups/1785342108299314/posts/3443937249106450/?comment_id=3444110359089139&amp;reply_comment_id=3444122932421215</v>
      </c>
      <c r="H186" t="s">
        <v>28</v>
      </c>
      <c r="I186" t="s">
        <v>645</v>
      </c>
      <c r="K186" t="str">
        <f>HYPERLINK("https://www.facebook.com/pfbid0ABgtt7uga1rC8FmtHgsAZ6KZq9qxKFpnJ1apQRwrmErmVEwE7yi9wSSFtMUmxFGdl")</f>
        <v>https://www.facebook.com/pfbid0ABgtt7uga1rC8FmtHgsAZ6KZq9qxKFpnJ1apQRwrmErmVEwE7yi9wSSFtMUmxFGdl</v>
      </c>
      <c r="L186">
        <v>34</v>
      </c>
      <c r="M186" t="s">
        <v>40</v>
      </c>
      <c r="N186" t="s">
        <v>31</v>
      </c>
      <c r="O186" t="s">
        <v>290</v>
      </c>
      <c r="P186" t="str">
        <f>HYPERLINK("https://www.facebook.com/1785342108299314")</f>
        <v>https://www.facebook.com/1785342108299314</v>
      </c>
      <c r="Q186">
        <v>13241</v>
      </c>
      <c r="R186" t="s">
        <v>32</v>
      </c>
      <c r="S186" t="s">
        <v>33</v>
      </c>
    </row>
    <row r="187" spans="1:19" ht="16">
      <c r="A187" t="s">
        <v>120</v>
      </c>
      <c r="B187" t="s">
        <v>646</v>
      </c>
      <c r="C187" t="s">
        <v>24</v>
      </c>
      <c r="D187" t="s">
        <v>165</v>
      </c>
      <c r="E187" t="s">
        <v>45</v>
      </c>
      <c r="F187" t="s">
        <v>46</v>
      </c>
      <c r="G187" t="str">
        <f>HYPERLINK("https://www.facebook.com/944341541440779")</f>
        <v>https://www.facebook.com/944341541440779</v>
      </c>
      <c r="H187" t="s">
        <v>28</v>
      </c>
      <c r="I187" t="s">
        <v>647</v>
      </c>
      <c r="K187" t="str">
        <f>HYPERLINK("https://www.facebook.com/100075948260205")</f>
        <v>https://www.facebook.com/100075948260205</v>
      </c>
      <c r="M187" t="s">
        <v>40</v>
      </c>
      <c r="N187" t="s">
        <v>31</v>
      </c>
      <c r="O187" t="s">
        <v>647</v>
      </c>
      <c r="P187" t="str">
        <f>HYPERLINK("https://www.facebook.com/100075948260205")</f>
        <v>https://www.facebook.com/100075948260205</v>
      </c>
      <c r="R187" t="s">
        <v>32</v>
      </c>
      <c r="S187" t="s">
        <v>33</v>
      </c>
    </row>
    <row r="188" spans="1:22" ht="16">
      <c r="A188" t="s">
        <v>120</v>
      </c>
      <c r="B188" t="s">
        <v>648</v>
      </c>
      <c r="C188" t="s">
        <v>80</v>
      </c>
      <c r="D188" t="s">
        <v>649</v>
      </c>
      <c r="E188" t="s">
        <v>74</v>
      </c>
      <c r="F188" t="s">
        <v>3</v>
      </c>
      <c r="G188" t="str">
        <f>HYPERLINK("https://www.facebook.com/groups/1785342108299314/posts/3443937249106450/?comment_id=3444055885761253&amp;reply_comment_id=3444120139088161")</f>
        <v>https://www.facebook.com/groups/1785342108299314/posts/3443937249106450/?comment_id=3444055885761253&amp;reply_comment_id=3444120139088161</v>
      </c>
      <c r="H188" t="s">
        <v>28</v>
      </c>
      <c r="I188" t="s">
        <v>650</v>
      </c>
      <c r="K188" t="str">
        <f>HYPERLINK("https://www.facebook.com/pfbid02zZWizc28yCRdhfk1sTx1fqt1GYmjJ2GXHGchZsQfusAwaXVKPr9du3hVFCn2h2a3l")</f>
        <v>https://www.facebook.com/pfbid02zZWizc28yCRdhfk1sTx1fqt1GYmjJ2GXHGchZsQfusAwaXVKPr9du3hVFCn2h2a3l</v>
      </c>
      <c r="M188" t="s">
        <v>30</v>
      </c>
      <c r="N188" t="s">
        <v>31</v>
      </c>
      <c r="O188" t="s">
        <v>290</v>
      </c>
      <c r="P188" t="str">
        <f>HYPERLINK("https://www.facebook.com/1785342108299314")</f>
        <v>https://www.facebook.com/1785342108299314</v>
      </c>
      <c r="Q188">
        <v>13241</v>
      </c>
      <c r="R188" t="s">
        <v>32</v>
      </c>
      <c r="S188" t="s">
        <v>33</v>
      </c>
      <c r="T188" t="s">
        <v>34</v>
      </c>
      <c r="U188" t="s">
        <v>58</v>
      </c>
      <c r="V188" t="s">
        <v>58</v>
      </c>
    </row>
    <row r="189" spans="1:22" ht="16">
      <c r="A189" t="s">
        <v>120</v>
      </c>
      <c r="B189" t="s">
        <v>651</v>
      </c>
      <c r="C189" t="s">
        <v>80</v>
      </c>
      <c r="D189" t="s">
        <v>652</v>
      </c>
      <c r="E189" t="s">
        <v>74</v>
      </c>
      <c r="F189" t="s">
        <v>3</v>
      </c>
      <c r="G189" t="str">
        <f>HYPERLINK("https://www.facebook.com/groups/1785342108299314/posts/3443937249106450/?comment_id=3444118395755002")</f>
        <v>https://www.facebook.com/groups/1785342108299314/posts/3443937249106450/?comment_id=3444118395755002</v>
      </c>
      <c r="H189" t="s">
        <v>28</v>
      </c>
      <c r="I189" t="s">
        <v>653</v>
      </c>
      <c r="J189" t="s">
        <v>654</v>
      </c>
      <c r="K189" t="str">
        <f>HYPERLINK("https://www.facebook.com/100008109639680")</f>
        <v>https://www.facebook.com/100008109639680</v>
      </c>
      <c r="L189">
        <v>367</v>
      </c>
      <c r="M189" t="s">
        <v>40</v>
      </c>
      <c r="N189" t="s">
        <v>31</v>
      </c>
      <c r="O189" t="s">
        <v>290</v>
      </c>
      <c r="P189" t="str">
        <f>HYPERLINK("https://www.facebook.com/1785342108299314")</f>
        <v>https://www.facebook.com/1785342108299314</v>
      </c>
      <c r="Q189">
        <v>13241</v>
      </c>
      <c r="R189" t="s">
        <v>32</v>
      </c>
      <c r="S189" t="s">
        <v>57</v>
      </c>
      <c r="T189" t="s">
        <v>34</v>
      </c>
      <c r="U189" t="s">
        <v>35</v>
      </c>
      <c r="V189" t="s">
        <v>655</v>
      </c>
    </row>
    <row r="190" spans="1:22" ht="16">
      <c r="A190" t="s">
        <v>120</v>
      </c>
      <c r="B190" t="s">
        <v>651</v>
      </c>
      <c r="C190" t="s">
        <v>80</v>
      </c>
      <c r="D190" t="s">
        <v>656</v>
      </c>
      <c r="E190" t="s">
        <v>74</v>
      </c>
      <c r="F190" t="s">
        <v>3</v>
      </c>
      <c r="G190" t="str">
        <f>HYPERLINK("https://www.facebook.com/groups/1785342108299314/posts/3443937249106450/?comment_id=3444020362431472&amp;reply_comment_id=3444118279088347")</f>
        <v>https://www.facebook.com/groups/1785342108299314/posts/3443937249106450/?comment_id=3444020362431472&amp;reply_comment_id=3444118279088347</v>
      </c>
      <c r="H190" t="s">
        <v>28</v>
      </c>
      <c r="I190" t="s">
        <v>597</v>
      </c>
      <c r="K190" t="str">
        <f>HYPERLINK("https://www.facebook.com/pfbid02fb7TrXJziY1TMKDHYvhPT5gEybGrH54R25kKnCzFAJywQUV6qdkvZV7u7XS17tgpl")</f>
        <v>https://www.facebook.com/pfbid02fb7TrXJziY1TMKDHYvhPT5gEybGrH54R25kKnCzFAJywQUV6qdkvZV7u7XS17tgpl</v>
      </c>
      <c r="M190" t="s">
        <v>30</v>
      </c>
      <c r="N190" t="s">
        <v>31</v>
      </c>
      <c r="O190" t="s">
        <v>290</v>
      </c>
      <c r="P190" t="str">
        <f>HYPERLINK("https://www.facebook.com/1785342108299314")</f>
        <v>https://www.facebook.com/1785342108299314</v>
      </c>
      <c r="Q190">
        <v>13241</v>
      </c>
      <c r="R190" t="s">
        <v>32</v>
      </c>
      <c r="S190" t="s">
        <v>33</v>
      </c>
      <c r="T190" t="s">
        <v>34</v>
      </c>
      <c r="U190" t="s">
        <v>598</v>
      </c>
      <c r="V190" t="s">
        <v>599</v>
      </c>
    </row>
    <row r="191" spans="1:19" ht="16">
      <c r="A191" t="s">
        <v>120</v>
      </c>
      <c r="B191" t="s">
        <v>657</v>
      </c>
      <c r="C191" t="s">
        <v>80</v>
      </c>
      <c r="D191" t="s">
        <v>658</v>
      </c>
      <c r="E191" t="s">
        <v>74</v>
      </c>
      <c r="F191" t="s">
        <v>3</v>
      </c>
      <c r="G191" t="str">
        <f>HYPERLINK("https://www.facebook.com/groups/1785342108299314/posts/3443937249106450/?comment_id=3444116115755230")</f>
        <v>https://www.facebook.com/groups/1785342108299314/posts/3443937249106450/?comment_id=3444116115755230</v>
      </c>
      <c r="H191" t="s">
        <v>28</v>
      </c>
      <c r="I191" t="s">
        <v>659</v>
      </c>
      <c r="K191" t="str">
        <f>HYPERLINK("https://www.facebook.com/100017058090237")</f>
        <v>https://www.facebook.com/100017058090237</v>
      </c>
      <c r="L191">
        <v>648</v>
      </c>
      <c r="M191" t="s">
        <v>40</v>
      </c>
      <c r="N191" t="s">
        <v>31</v>
      </c>
      <c r="O191" t="s">
        <v>290</v>
      </c>
      <c r="P191" t="str">
        <f>HYPERLINK("https://www.facebook.com/1785342108299314")</f>
        <v>https://www.facebook.com/1785342108299314</v>
      </c>
      <c r="Q191">
        <v>13241</v>
      </c>
      <c r="R191" t="s">
        <v>32</v>
      </c>
      <c r="S191" t="s">
        <v>85</v>
      </c>
    </row>
    <row r="192" spans="1:22" ht="16">
      <c r="A192" t="s">
        <v>120</v>
      </c>
      <c r="B192" t="s">
        <v>657</v>
      </c>
      <c r="C192" t="s">
        <v>24</v>
      </c>
      <c r="D192" t="s">
        <v>165</v>
      </c>
      <c r="E192" t="s">
        <v>45</v>
      </c>
      <c r="F192" t="s">
        <v>46</v>
      </c>
      <c r="G192" t="str">
        <f>HYPERLINK("https://www.facebook.com/25995936656757268")</f>
        <v>https://www.facebook.com/25995936656757268</v>
      </c>
      <c r="H192" t="s">
        <v>28</v>
      </c>
      <c r="I192" t="s">
        <v>198</v>
      </c>
      <c r="K192" t="str">
        <f>HYPERLINK("https://www.facebook.com/100003028668485")</f>
        <v>https://www.facebook.com/100003028668485</v>
      </c>
      <c r="M192" t="s">
        <v>40</v>
      </c>
      <c r="N192" t="s">
        <v>31</v>
      </c>
      <c r="O192" t="s">
        <v>198</v>
      </c>
      <c r="P192" t="str">
        <f>HYPERLINK("https://www.facebook.com/100003028668485")</f>
        <v>https://www.facebook.com/100003028668485</v>
      </c>
      <c r="R192" t="s">
        <v>32</v>
      </c>
      <c r="S192" t="s">
        <v>33</v>
      </c>
      <c r="T192" t="s">
        <v>34</v>
      </c>
      <c r="U192" t="s">
        <v>167</v>
      </c>
      <c r="V192" t="s">
        <v>660</v>
      </c>
    </row>
    <row r="193" spans="1:22" ht="16">
      <c r="A193" t="s">
        <v>120</v>
      </c>
      <c r="B193" t="s">
        <v>661</v>
      </c>
      <c r="C193" t="s">
        <v>72</v>
      </c>
      <c r="D193" t="s">
        <v>662</v>
      </c>
      <c r="E193" t="s">
        <v>74</v>
      </c>
      <c r="F193" t="s">
        <v>3</v>
      </c>
      <c r="G193" t="str">
        <f>HYPERLINK("https://www.facebook.com/permalink.php?story_fbid=pfbid022EiDACdienKpjPECyX349BaVUSYZJn3ACWNGRCFbfhcrL4SL4Kmz7CmKJrKfz1J4l&amp;id=100009468959379&amp;comment_id=881807694681417")</f>
        <v>https://www.facebook.com/permalink.php?story_fbid=pfbid022EiDACdienKpjPECyX349BaVUSYZJn3ACWNGRCFbfhcrL4SL4Kmz7CmKJrKfz1J4l&amp;id=100009468959379&amp;comment_id=881807694681417</v>
      </c>
      <c r="H193" t="s">
        <v>28</v>
      </c>
      <c r="I193" t="s">
        <v>663</v>
      </c>
      <c r="J193" t="s">
        <v>664</v>
      </c>
      <c r="K193" t="str">
        <f>HYPERLINK("https://www.facebook.com/100014349258048")</f>
        <v>https://www.facebook.com/100014349258048</v>
      </c>
      <c r="M193" t="s">
        <v>30</v>
      </c>
      <c r="N193" t="s">
        <v>31</v>
      </c>
      <c r="O193" t="s">
        <v>76</v>
      </c>
      <c r="P193" t="str">
        <f>HYPERLINK("https://www.facebook.com/100009468959379")</f>
        <v>https://www.facebook.com/100009468959379</v>
      </c>
      <c r="R193" t="s">
        <v>32</v>
      </c>
      <c r="S193" t="s">
        <v>85</v>
      </c>
      <c r="T193" t="s">
        <v>34</v>
      </c>
      <c r="U193" t="s">
        <v>58</v>
      </c>
      <c r="V193" t="s">
        <v>58</v>
      </c>
    </row>
    <row r="194" spans="1:19" ht="16">
      <c r="A194" t="s">
        <v>120</v>
      </c>
      <c r="B194" t="s">
        <v>661</v>
      </c>
      <c r="C194" t="s">
        <v>80</v>
      </c>
      <c r="D194" t="s">
        <v>665</v>
      </c>
      <c r="E194" t="s">
        <v>74</v>
      </c>
      <c r="F194" t="s">
        <v>3</v>
      </c>
      <c r="G194" t="str">
        <f>HYPERLINK("https://www.facebook.com/groups/1785342108299314/posts/3443937249106450/?comment_id=3444114955755346")</f>
        <v>https://www.facebook.com/groups/1785342108299314/posts/3443937249106450/?comment_id=3444114955755346</v>
      </c>
      <c r="H194" t="s">
        <v>28</v>
      </c>
      <c r="I194" t="s">
        <v>666</v>
      </c>
      <c r="K194" t="str">
        <f>HYPERLINK("https://www.facebook.com/100026683841077")</f>
        <v>https://www.facebook.com/100026683841077</v>
      </c>
      <c r="M194" t="s">
        <v>30</v>
      </c>
      <c r="N194" t="s">
        <v>31</v>
      </c>
      <c r="O194" t="s">
        <v>290</v>
      </c>
      <c r="P194" t="str">
        <f>HYPERLINK("https://www.facebook.com/1785342108299314")</f>
        <v>https://www.facebook.com/1785342108299314</v>
      </c>
      <c r="Q194">
        <v>13241</v>
      </c>
      <c r="R194" t="s">
        <v>32</v>
      </c>
      <c r="S194" t="s">
        <v>85</v>
      </c>
    </row>
    <row r="195" spans="1:19" ht="16">
      <c r="A195" t="s">
        <v>120</v>
      </c>
      <c r="B195" t="s">
        <v>667</v>
      </c>
      <c r="C195" t="s">
        <v>80</v>
      </c>
      <c r="D195" t="s">
        <v>668</v>
      </c>
      <c r="E195" t="s">
        <v>74</v>
      </c>
      <c r="F195" t="s">
        <v>3</v>
      </c>
      <c r="G195" t="str">
        <f>HYPERLINK("https://www.facebook.com/groups/1785342108299314/posts/3443937249106450/?comment_id=3444110359089139")</f>
        <v>https://www.facebook.com/groups/1785342108299314/posts/3443937249106450/?comment_id=3444110359089139</v>
      </c>
      <c r="H195" t="s">
        <v>28</v>
      </c>
      <c r="I195" t="s">
        <v>669</v>
      </c>
      <c r="K195" t="str">
        <f>HYPERLINK("https://www.facebook.com/100052825268849")</f>
        <v>https://www.facebook.com/100052825268849</v>
      </c>
      <c r="M195" t="s">
        <v>30</v>
      </c>
      <c r="N195" t="s">
        <v>31</v>
      </c>
      <c r="O195" t="s">
        <v>290</v>
      </c>
      <c r="P195" t="str">
        <f>HYPERLINK("https://www.facebook.com/1785342108299314")</f>
        <v>https://www.facebook.com/1785342108299314</v>
      </c>
      <c r="Q195">
        <v>13241</v>
      </c>
      <c r="R195" t="s">
        <v>32</v>
      </c>
      <c r="S195" t="s">
        <v>33</v>
      </c>
    </row>
    <row r="196" spans="1:19" ht="16">
      <c r="A196" t="s">
        <v>120</v>
      </c>
      <c r="B196" t="s">
        <v>670</v>
      </c>
      <c r="C196" t="s">
        <v>80</v>
      </c>
      <c r="D196" t="s">
        <v>671</v>
      </c>
      <c r="E196" t="s">
        <v>74</v>
      </c>
      <c r="F196" t="s">
        <v>3</v>
      </c>
      <c r="G196" t="str">
        <f>HYPERLINK("https://www.facebook.com/groups/1785342108299314/posts/3443937249106450/?comment_id=3444107235756118")</f>
        <v>https://www.facebook.com/groups/1785342108299314/posts/3443937249106450/?comment_id=3444107235756118</v>
      </c>
      <c r="H196" t="s">
        <v>28</v>
      </c>
      <c r="I196" t="s">
        <v>672</v>
      </c>
      <c r="K196" t="str">
        <f>HYPERLINK("https://www.facebook.com/100030822377414")</f>
        <v>https://www.facebook.com/100030822377414</v>
      </c>
      <c r="M196" t="s">
        <v>30</v>
      </c>
      <c r="N196" t="s">
        <v>31</v>
      </c>
      <c r="O196" t="s">
        <v>290</v>
      </c>
      <c r="P196" t="str">
        <f>HYPERLINK("https://www.facebook.com/1785342108299314")</f>
        <v>https://www.facebook.com/1785342108299314</v>
      </c>
      <c r="Q196">
        <v>13241</v>
      </c>
      <c r="R196" t="s">
        <v>32</v>
      </c>
      <c r="S196" t="s">
        <v>33</v>
      </c>
    </row>
    <row r="197" spans="1:22" ht="16">
      <c r="A197" t="s">
        <v>120</v>
      </c>
      <c r="B197" t="s">
        <v>673</v>
      </c>
      <c r="C197" t="s">
        <v>80</v>
      </c>
      <c r="D197" t="s">
        <v>674</v>
      </c>
      <c r="E197" t="s">
        <v>74</v>
      </c>
      <c r="F197" t="s">
        <v>3</v>
      </c>
      <c r="G197" t="str">
        <f>HYPERLINK("https://www.facebook.com/groups/1785342108299314/posts/3443937249106450/?comment_id=3444104592423049")</f>
        <v>https://www.facebook.com/groups/1785342108299314/posts/3443937249106450/?comment_id=3444104592423049</v>
      </c>
      <c r="H197" t="s">
        <v>28</v>
      </c>
      <c r="I197" t="s">
        <v>675</v>
      </c>
      <c r="J197" t="s">
        <v>676</v>
      </c>
      <c r="K197" t="str">
        <f>HYPERLINK("https://www.facebook.com/pfbid02GbsiaMWMBUNZX8SRnMSV95iBECoVoJECzK4KZhnJitz8R7AqjDWgML7NEXEZ2mTTl")</f>
        <v>https://www.facebook.com/pfbid02GbsiaMWMBUNZX8SRnMSV95iBECoVoJECzK4KZhnJitz8R7AqjDWgML7NEXEZ2mTTl</v>
      </c>
      <c r="M197" t="s">
        <v>30</v>
      </c>
      <c r="N197" t="s">
        <v>31</v>
      </c>
      <c r="O197" t="s">
        <v>290</v>
      </c>
      <c r="P197" t="str">
        <f>HYPERLINK("https://www.facebook.com/1785342108299314")</f>
        <v>https://www.facebook.com/1785342108299314</v>
      </c>
      <c r="Q197">
        <v>13241</v>
      </c>
      <c r="R197" t="s">
        <v>32</v>
      </c>
      <c r="S197" t="s">
        <v>85</v>
      </c>
      <c r="T197" t="s">
        <v>240</v>
      </c>
      <c r="U197" t="s">
        <v>366</v>
      </c>
      <c r="V197" t="s">
        <v>677</v>
      </c>
    </row>
    <row r="198" spans="1:21" ht="16">
      <c r="A198" t="s">
        <v>120</v>
      </c>
      <c r="B198" t="s">
        <v>678</v>
      </c>
      <c r="C198" t="s">
        <v>72</v>
      </c>
      <c r="D198" t="s">
        <v>679</v>
      </c>
      <c r="E198" t="s">
        <v>74</v>
      </c>
      <c r="F198" t="s">
        <v>3</v>
      </c>
      <c r="G198" t="str">
        <f>HYPERLINK("https://www.facebook.com/permalink.php?story_fbid=pfbid022EiDACdienKpjPECyX349BaVUSYZJn3ACWNGRCFbfhcrL4SL4Kmz7CmKJrKfz1J4l&amp;id=100009468959379&amp;comment_id=872767642474670")</f>
        <v>https://www.facebook.com/permalink.php?story_fbid=pfbid022EiDACdienKpjPECyX349BaVUSYZJn3ACWNGRCFbfhcrL4SL4Kmz7CmKJrKfz1J4l&amp;id=100009468959379&amp;comment_id=872767642474670</v>
      </c>
      <c r="H198" t="s">
        <v>28</v>
      </c>
      <c r="I198" t="s">
        <v>680</v>
      </c>
      <c r="K198" t="str">
        <f>HYPERLINK("https://www.facebook.com/100002389078541")</f>
        <v>https://www.facebook.com/100002389078541</v>
      </c>
      <c r="L198">
        <v>2989</v>
      </c>
      <c r="M198" t="s">
        <v>40</v>
      </c>
      <c r="N198" t="s">
        <v>31</v>
      </c>
      <c r="O198" t="s">
        <v>76</v>
      </c>
      <c r="P198" t="str">
        <f t="shared" si="5" ref="P198:P204">HYPERLINK("https://www.facebook.com/100009468959379")</f>
        <v>https://www.facebook.com/100009468959379</v>
      </c>
      <c r="R198" t="s">
        <v>32</v>
      </c>
      <c r="S198" t="s">
        <v>33</v>
      </c>
      <c r="T198" t="s">
        <v>681</v>
      </c>
      <c r="U198" t="s">
        <v>682</v>
      </c>
    </row>
    <row r="199" spans="1:19" ht="16">
      <c r="A199" t="s">
        <v>120</v>
      </c>
      <c r="B199" t="s">
        <v>683</v>
      </c>
      <c r="C199" t="s">
        <v>72</v>
      </c>
      <c r="D199" t="s">
        <v>684</v>
      </c>
      <c r="E199" t="s">
        <v>74</v>
      </c>
      <c r="F199" t="s">
        <v>3</v>
      </c>
      <c r="G199" t="str">
        <f>HYPERLINK("https://www.facebook.com/permalink.php?story_fbid=pfbid022EiDACdienKpjPECyX349BaVUSYZJn3ACWNGRCFbfhcrL4SL4Kmz7CmKJrKfz1J4l&amp;id=100009468959379&amp;comment_id=2128757664624374&amp;reply_comment_id=900075579588136")</f>
        <v>https://www.facebook.com/permalink.php?story_fbid=pfbid022EiDACdienKpjPECyX349BaVUSYZJn3ACWNGRCFbfhcrL4SL4Kmz7CmKJrKfz1J4l&amp;id=100009468959379&amp;comment_id=2128757664624374&amp;reply_comment_id=900075579588136</v>
      </c>
      <c r="H199" t="s">
        <v>28</v>
      </c>
      <c r="I199" t="s">
        <v>685</v>
      </c>
      <c r="K199" t="str">
        <f>HYPERLINK("https://www.facebook.com/1577707826")</f>
        <v>https://www.facebook.com/1577707826</v>
      </c>
      <c r="M199" t="s">
        <v>40</v>
      </c>
      <c r="N199" t="s">
        <v>31</v>
      </c>
      <c r="O199" t="s">
        <v>76</v>
      </c>
      <c r="P199" t="str">
        <f t="shared" si="5"/>
        <v>https://www.facebook.com/100009468959379</v>
      </c>
      <c r="R199" t="s">
        <v>32</v>
      </c>
      <c r="S199" t="s">
        <v>33</v>
      </c>
    </row>
    <row r="200" spans="1:19" ht="16">
      <c r="A200" t="s">
        <v>120</v>
      </c>
      <c r="B200" t="s">
        <v>683</v>
      </c>
      <c r="C200" t="s">
        <v>72</v>
      </c>
      <c r="D200" t="s">
        <v>686</v>
      </c>
      <c r="E200" t="s">
        <v>74</v>
      </c>
      <c r="F200" t="s">
        <v>3</v>
      </c>
      <c r="G200" t="str">
        <f>HYPERLINK("https://www.facebook.com/permalink.php?story_fbid=pfbid022EiDACdienKpjPECyX349BaVUSYZJn3ACWNGRCFbfhcrL4SL4Kmz7CmKJrKfz1J4l&amp;id=100009468959379&amp;comment_id=1209324364519057&amp;reply_comment_id=1219508550354553")</f>
        <v>https://www.facebook.com/permalink.php?story_fbid=pfbid022EiDACdienKpjPECyX349BaVUSYZJn3ACWNGRCFbfhcrL4SL4Kmz7CmKJrKfz1J4l&amp;id=100009468959379&amp;comment_id=1209324364519057&amp;reply_comment_id=1219508550354553</v>
      </c>
      <c r="H200" t="s">
        <v>28</v>
      </c>
      <c r="I200" t="s">
        <v>76</v>
      </c>
      <c r="K200" t="str">
        <f>HYPERLINK("https://www.facebook.com/100009468959379")</f>
        <v>https://www.facebook.com/100009468959379</v>
      </c>
      <c r="M200" t="s">
        <v>30</v>
      </c>
      <c r="N200" t="s">
        <v>31</v>
      </c>
      <c r="O200" t="s">
        <v>76</v>
      </c>
      <c r="P200" t="str">
        <f t="shared" si="5"/>
        <v>https://www.facebook.com/100009468959379</v>
      </c>
      <c r="R200" t="s">
        <v>32</v>
      </c>
      <c r="S200" t="s">
        <v>33</v>
      </c>
    </row>
    <row r="201" spans="1:22" ht="16">
      <c r="A201" t="s">
        <v>120</v>
      </c>
      <c r="B201" t="s">
        <v>687</v>
      </c>
      <c r="C201" t="s">
        <v>72</v>
      </c>
      <c r="D201" t="s">
        <v>688</v>
      </c>
      <c r="E201" t="s">
        <v>74</v>
      </c>
      <c r="F201" t="s">
        <v>3</v>
      </c>
      <c r="G201" t="str">
        <f>HYPERLINK("https://www.facebook.com/permalink.php?story_fbid=pfbid022EiDACdienKpjPECyX349BaVUSYZJn3ACWNGRCFbfhcrL4SL4Kmz7CmKJrKfz1J4l&amp;id=100009468959379&amp;comment_id=1209324364519057&amp;reply_comment_id=2048835655689257")</f>
        <v>https://www.facebook.com/permalink.php?story_fbid=pfbid022EiDACdienKpjPECyX349BaVUSYZJn3ACWNGRCFbfhcrL4SL4Kmz7CmKJrKfz1J4l&amp;id=100009468959379&amp;comment_id=1209324364519057&amp;reply_comment_id=2048835655689257</v>
      </c>
      <c r="H201" t="s">
        <v>28</v>
      </c>
      <c r="I201" t="s">
        <v>689</v>
      </c>
      <c r="J201" t="s">
        <v>690</v>
      </c>
      <c r="K201" t="str">
        <f>HYPERLINK("https://www.facebook.com/100000647053883")</f>
        <v>https://www.facebook.com/100000647053883</v>
      </c>
      <c r="M201" t="s">
        <v>30</v>
      </c>
      <c r="N201" t="s">
        <v>31</v>
      </c>
      <c r="O201" t="s">
        <v>76</v>
      </c>
      <c r="P201" t="str">
        <f t="shared" si="5"/>
        <v>https://www.facebook.com/100009468959379</v>
      </c>
      <c r="R201" t="s">
        <v>32</v>
      </c>
      <c r="S201" t="s">
        <v>85</v>
      </c>
      <c r="T201" t="s">
        <v>62</v>
      </c>
      <c r="U201" t="s">
        <v>691</v>
      </c>
      <c r="V201" t="s">
        <v>692</v>
      </c>
    </row>
    <row r="202" spans="1:19" ht="16">
      <c r="A202" t="s">
        <v>120</v>
      </c>
      <c r="B202" t="s">
        <v>687</v>
      </c>
      <c r="C202" t="s">
        <v>72</v>
      </c>
      <c r="D202" t="s">
        <v>693</v>
      </c>
      <c r="E202" t="s">
        <v>74</v>
      </c>
      <c r="F202" t="s">
        <v>3</v>
      </c>
      <c r="G202" t="str">
        <f>HYPERLINK("https://www.facebook.com/permalink.php?story_fbid=pfbid022EiDACdienKpjPECyX349BaVUSYZJn3ACWNGRCFbfhcrL4SL4Kmz7CmKJrKfz1J4l&amp;id=100009468959379&amp;comment_id=2128757664624374&amp;reply_comment_id=3066344276907670")</f>
        <v>https://www.facebook.com/permalink.php?story_fbid=pfbid022EiDACdienKpjPECyX349BaVUSYZJn3ACWNGRCFbfhcrL4SL4Kmz7CmKJrKfz1J4l&amp;id=100009468959379&amp;comment_id=2128757664624374&amp;reply_comment_id=3066344276907670</v>
      </c>
      <c r="H202" t="s">
        <v>28</v>
      </c>
      <c r="I202" t="s">
        <v>76</v>
      </c>
      <c r="K202" t="str">
        <f>HYPERLINK("https://www.facebook.com/100009468959379")</f>
        <v>https://www.facebook.com/100009468959379</v>
      </c>
      <c r="M202" t="s">
        <v>30</v>
      </c>
      <c r="N202" t="s">
        <v>31</v>
      </c>
      <c r="O202" t="s">
        <v>76</v>
      </c>
      <c r="P202" t="str">
        <f t="shared" si="5"/>
        <v>https://www.facebook.com/100009468959379</v>
      </c>
      <c r="R202" t="s">
        <v>32</v>
      </c>
      <c r="S202" t="s">
        <v>33</v>
      </c>
    </row>
    <row r="203" spans="1:19" ht="16">
      <c r="A203" t="s">
        <v>120</v>
      </c>
      <c r="B203" t="s">
        <v>694</v>
      </c>
      <c r="C203" t="s">
        <v>72</v>
      </c>
      <c r="D203" t="s">
        <v>695</v>
      </c>
      <c r="E203" t="s">
        <v>74</v>
      </c>
      <c r="F203" t="s">
        <v>3</v>
      </c>
      <c r="G203" t="str">
        <f>HYPERLINK("https://www.facebook.com/permalink.php?story_fbid=pfbid022EiDACdienKpjPECyX349BaVUSYZJn3ACWNGRCFbfhcrL4SL4Kmz7CmKJrKfz1J4l&amp;id=100009468959379&amp;comment_id=1209324364519057&amp;reply_comment_id=1440261317651946")</f>
        <v>https://www.facebook.com/permalink.php?story_fbid=pfbid022EiDACdienKpjPECyX349BaVUSYZJn3ACWNGRCFbfhcrL4SL4Kmz7CmKJrKfz1J4l&amp;id=100009468959379&amp;comment_id=1209324364519057&amp;reply_comment_id=1440261317651946</v>
      </c>
      <c r="H203" t="s">
        <v>28</v>
      </c>
      <c r="I203" t="s">
        <v>76</v>
      </c>
      <c r="K203" t="str">
        <f>HYPERLINK("https://www.facebook.com/100009468959379")</f>
        <v>https://www.facebook.com/100009468959379</v>
      </c>
      <c r="M203" t="s">
        <v>30</v>
      </c>
      <c r="N203" t="s">
        <v>31</v>
      </c>
      <c r="O203" t="s">
        <v>76</v>
      </c>
      <c r="P203" t="str">
        <f t="shared" si="5"/>
        <v>https://www.facebook.com/100009468959379</v>
      </c>
      <c r="R203" t="s">
        <v>32</v>
      </c>
      <c r="S203" t="s">
        <v>33</v>
      </c>
    </row>
    <row r="204" spans="1:19" ht="16">
      <c r="A204" t="s">
        <v>120</v>
      </c>
      <c r="B204" t="s">
        <v>696</v>
      </c>
      <c r="C204" t="s">
        <v>72</v>
      </c>
      <c r="D204" t="s">
        <v>697</v>
      </c>
      <c r="E204" t="s">
        <v>74</v>
      </c>
      <c r="F204" t="s">
        <v>3</v>
      </c>
      <c r="G204" t="str">
        <f>HYPERLINK("https://www.facebook.com/permalink.php?story_fbid=pfbid022EiDACdienKpjPECyX349BaVUSYZJn3ACWNGRCFbfhcrL4SL4Kmz7CmKJrKfz1J4l&amp;id=100009468959379&amp;comment_id=1425284259090472&amp;reply_comment_id=858050817279896")</f>
        <v>https://www.facebook.com/permalink.php?story_fbid=pfbid022EiDACdienKpjPECyX349BaVUSYZJn3ACWNGRCFbfhcrL4SL4Kmz7CmKJrKfz1J4l&amp;id=100009468959379&amp;comment_id=1425284259090472&amp;reply_comment_id=858050817279896</v>
      </c>
      <c r="H204" t="s">
        <v>28</v>
      </c>
      <c r="I204" t="s">
        <v>685</v>
      </c>
      <c r="K204" t="str">
        <f>HYPERLINK("https://www.facebook.com/1577707826")</f>
        <v>https://www.facebook.com/1577707826</v>
      </c>
      <c r="M204" t="s">
        <v>40</v>
      </c>
      <c r="N204" t="s">
        <v>31</v>
      </c>
      <c r="O204" t="s">
        <v>76</v>
      </c>
      <c r="P204" t="str">
        <f t="shared" si="5"/>
        <v>https://www.facebook.com/100009468959379</v>
      </c>
      <c r="R204" t="s">
        <v>32</v>
      </c>
      <c r="S204" t="s">
        <v>33</v>
      </c>
    </row>
    <row r="205" spans="1:19" ht="16">
      <c r="A205" t="s">
        <v>120</v>
      </c>
      <c r="B205" t="s">
        <v>698</v>
      </c>
      <c r="C205" t="s">
        <v>80</v>
      </c>
      <c r="D205" t="s">
        <v>699</v>
      </c>
      <c r="E205" t="s">
        <v>74</v>
      </c>
      <c r="F205" t="s">
        <v>3</v>
      </c>
      <c r="G205" t="str">
        <f>HYPERLINK("https://www.facebook.com/groups/1785342108299314/posts/3443937249106450/?comment_id=3444020362431472&amp;reply_comment_id=3444096042423904")</f>
        <v>https://www.facebook.com/groups/1785342108299314/posts/3443937249106450/?comment_id=3444020362431472&amp;reply_comment_id=3444096042423904</v>
      </c>
      <c r="H205" t="s">
        <v>28</v>
      </c>
      <c r="I205" t="s">
        <v>700</v>
      </c>
      <c r="K205" t="str">
        <f>HYPERLINK("https://www.facebook.com/61565894704367")</f>
        <v>https://www.facebook.com/61565894704367</v>
      </c>
      <c r="M205" t="s">
        <v>40</v>
      </c>
      <c r="N205" t="s">
        <v>31</v>
      </c>
      <c r="O205" t="s">
        <v>290</v>
      </c>
      <c r="P205" t="str">
        <f>HYPERLINK("https://www.facebook.com/1785342108299314")</f>
        <v>https://www.facebook.com/1785342108299314</v>
      </c>
      <c r="Q205">
        <v>13241</v>
      </c>
      <c r="R205" t="s">
        <v>32</v>
      </c>
      <c r="S205" t="s">
        <v>33</v>
      </c>
    </row>
    <row r="206" spans="1:22" ht="16">
      <c r="A206" t="s">
        <v>120</v>
      </c>
      <c r="B206" t="s">
        <v>701</v>
      </c>
      <c r="C206" t="s">
        <v>72</v>
      </c>
      <c r="D206" t="s">
        <v>702</v>
      </c>
      <c r="E206" t="s">
        <v>74</v>
      </c>
      <c r="F206" t="s">
        <v>3</v>
      </c>
      <c r="G206" t="str">
        <f>HYPERLINK("https://www.facebook.com/permalink.php?story_fbid=pfbid022EiDACdienKpjPECyX349BaVUSYZJn3ACWNGRCFbfhcrL4SL4Kmz7CmKJrKfz1J4l&amp;id=100009468959379&amp;comment_id=1209324364519057")</f>
        <v>https://www.facebook.com/permalink.php?story_fbid=pfbid022EiDACdienKpjPECyX349BaVUSYZJn3ACWNGRCFbfhcrL4SL4Kmz7CmKJrKfz1J4l&amp;id=100009468959379&amp;comment_id=1209324364519057</v>
      </c>
      <c r="H206" t="s">
        <v>28</v>
      </c>
      <c r="I206" t="s">
        <v>689</v>
      </c>
      <c r="J206" t="s">
        <v>690</v>
      </c>
      <c r="K206" t="str">
        <f>HYPERLINK("https://www.facebook.com/100000647053883")</f>
        <v>https://www.facebook.com/100000647053883</v>
      </c>
      <c r="M206" t="s">
        <v>30</v>
      </c>
      <c r="N206" t="s">
        <v>31</v>
      </c>
      <c r="O206" t="s">
        <v>76</v>
      </c>
      <c r="P206" t="str">
        <f>HYPERLINK("https://www.facebook.com/100009468959379")</f>
        <v>https://www.facebook.com/100009468959379</v>
      </c>
      <c r="R206" t="s">
        <v>32</v>
      </c>
      <c r="S206" t="s">
        <v>33</v>
      </c>
      <c r="T206" t="s">
        <v>62</v>
      </c>
      <c r="U206" t="s">
        <v>691</v>
      </c>
      <c r="V206" t="s">
        <v>692</v>
      </c>
    </row>
    <row r="207" spans="1:22" ht="16">
      <c r="A207" t="s">
        <v>120</v>
      </c>
      <c r="B207" t="s">
        <v>703</v>
      </c>
      <c r="C207" t="s">
        <v>72</v>
      </c>
      <c r="D207" t="s">
        <v>704</v>
      </c>
      <c r="E207" t="s">
        <v>74</v>
      </c>
      <c r="F207" t="s">
        <v>3</v>
      </c>
      <c r="G207" t="str">
        <f>HYPERLINK("https://www.facebook.com/permalink.php?story_fbid=pfbid022EiDACdienKpjPECyX349BaVUSYZJn3ACWNGRCFbfhcrL4SL4Kmz7CmKJrKfz1J4l&amp;id=100009468959379&amp;comment_id=1871259476929494")</f>
        <v>https://www.facebook.com/permalink.php?story_fbid=pfbid022EiDACdienKpjPECyX349BaVUSYZJn3ACWNGRCFbfhcrL4SL4Kmz7CmKJrKfz1J4l&amp;id=100009468959379&amp;comment_id=1871259476929494</v>
      </c>
      <c r="H207" t="s">
        <v>28</v>
      </c>
      <c r="I207" t="s">
        <v>705</v>
      </c>
      <c r="J207" t="s">
        <v>706</v>
      </c>
      <c r="K207" t="str">
        <f>HYPERLINK("https://www.facebook.com/100008090472297")</f>
        <v>https://www.facebook.com/100008090472297</v>
      </c>
      <c r="M207" t="s">
        <v>30</v>
      </c>
      <c r="N207" t="s">
        <v>31</v>
      </c>
      <c r="O207" t="s">
        <v>76</v>
      </c>
      <c r="P207" t="str">
        <f>HYPERLINK("https://www.facebook.com/100009468959379")</f>
        <v>https://www.facebook.com/100009468959379</v>
      </c>
      <c r="R207" t="s">
        <v>32</v>
      </c>
      <c r="S207" t="s">
        <v>85</v>
      </c>
      <c r="T207" t="s">
        <v>34</v>
      </c>
      <c r="U207" t="s">
        <v>58</v>
      </c>
      <c r="V207" t="s">
        <v>58</v>
      </c>
    </row>
    <row r="208" spans="1:19" ht="16">
      <c r="A208" t="s">
        <v>120</v>
      </c>
      <c r="B208" t="s">
        <v>707</v>
      </c>
      <c r="C208" t="s">
        <v>80</v>
      </c>
      <c r="D208" t="s">
        <v>708</v>
      </c>
      <c r="E208" t="s">
        <v>74</v>
      </c>
      <c r="F208" t="s">
        <v>3</v>
      </c>
      <c r="G208" t="str">
        <f>HYPERLINK("https://www.facebook.com/groups/1785342108299314/posts/3443937249106450/?comment_id=3444069839093191&amp;reply_comment_id=3444091165757725")</f>
        <v>https://www.facebook.com/groups/1785342108299314/posts/3443937249106450/?comment_id=3444069839093191&amp;reply_comment_id=3444091165757725</v>
      </c>
      <c r="H208" t="s">
        <v>28</v>
      </c>
      <c r="I208" t="s">
        <v>700</v>
      </c>
      <c r="K208" t="str">
        <f>HYPERLINK("https://www.facebook.com/61565894704367")</f>
        <v>https://www.facebook.com/61565894704367</v>
      </c>
      <c r="M208" t="s">
        <v>40</v>
      </c>
      <c r="N208" t="s">
        <v>31</v>
      </c>
      <c r="O208" t="s">
        <v>290</v>
      </c>
      <c r="P208" t="str">
        <f>HYPERLINK("https://www.facebook.com/1785342108299314")</f>
        <v>https://www.facebook.com/1785342108299314</v>
      </c>
      <c r="Q208">
        <v>13241</v>
      </c>
      <c r="R208" t="s">
        <v>32</v>
      </c>
      <c r="S208" t="s">
        <v>33</v>
      </c>
    </row>
    <row r="209" spans="1:19" ht="16">
      <c r="A209" t="s">
        <v>120</v>
      </c>
      <c r="B209" t="s">
        <v>707</v>
      </c>
      <c r="C209" t="s">
        <v>72</v>
      </c>
      <c r="D209" t="s">
        <v>709</v>
      </c>
      <c r="E209" t="s">
        <v>74</v>
      </c>
      <c r="F209" t="s">
        <v>3</v>
      </c>
      <c r="G209" t="str">
        <f>HYPERLINK("https://www.facebook.com/permalink.php?story_fbid=pfbid022EiDACdienKpjPECyX349BaVUSYZJn3ACWNGRCFbfhcrL4SL4Kmz7CmKJrKfz1J4l&amp;id=100009468959379&amp;comment_id=2128757664624374")</f>
        <v>https://www.facebook.com/permalink.php?story_fbid=pfbid022EiDACdienKpjPECyX349BaVUSYZJn3ACWNGRCFbfhcrL4SL4Kmz7CmKJrKfz1J4l&amp;id=100009468959379&amp;comment_id=2128757664624374</v>
      </c>
      <c r="H209" t="s">
        <v>28</v>
      </c>
      <c r="I209" t="s">
        <v>685</v>
      </c>
      <c r="K209" t="str">
        <f>HYPERLINK("https://www.facebook.com/1577707826")</f>
        <v>https://www.facebook.com/1577707826</v>
      </c>
      <c r="M209" t="s">
        <v>40</v>
      </c>
      <c r="N209" t="s">
        <v>31</v>
      </c>
      <c r="O209" t="s">
        <v>76</v>
      </c>
      <c r="P209" t="str">
        <f>HYPERLINK("https://www.facebook.com/100009468959379")</f>
        <v>https://www.facebook.com/100009468959379</v>
      </c>
      <c r="R209" t="s">
        <v>32</v>
      </c>
      <c r="S209" t="s">
        <v>33</v>
      </c>
    </row>
    <row r="210" spans="1:19" ht="16">
      <c r="A210" t="s">
        <v>120</v>
      </c>
      <c r="B210" t="s">
        <v>710</v>
      </c>
      <c r="C210" t="s">
        <v>72</v>
      </c>
      <c r="D210" t="s">
        <v>711</v>
      </c>
      <c r="E210" t="s">
        <v>74</v>
      </c>
      <c r="F210" t="s">
        <v>3</v>
      </c>
      <c r="G210" t="str">
        <f>HYPERLINK("https://www.facebook.com/permalink.php?story_fbid=pfbid022EiDACdienKpjPECyX349BaVUSYZJn3ACWNGRCFbfhcrL4SL4Kmz7CmKJrKfz1J4l&amp;id=100009468959379&amp;comment_id=759991563556652&amp;reply_comment_id=1842109319781394")</f>
        <v>https://www.facebook.com/permalink.php?story_fbid=pfbid022EiDACdienKpjPECyX349BaVUSYZJn3ACWNGRCFbfhcrL4SL4Kmz7CmKJrKfz1J4l&amp;id=100009468959379&amp;comment_id=759991563556652&amp;reply_comment_id=1842109319781394</v>
      </c>
      <c r="H210" t="s">
        <v>28</v>
      </c>
      <c r="I210" t="s">
        <v>76</v>
      </c>
      <c r="K210" t="str">
        <f>HYPERLINK("https://www.facebook.com/100009468959379")</f>
        <v>https://www.facebook.com/100009468959379</v>
      </c>
      <c r="M210" t="s">
        <v>30</v>
      </c>
      <c r="N210" t="s">
        <v>31</v>
      </c>
      <c r="O210" t="s">
        <v>76</v>
      </c>
      <c r="P210" t="str">
        <f>HYPERLINK("https://www.facebook.com/100009468959379")</f>
        <v>https://www.facebook.com/100009468959379</v>
      </c>
      <c r="R210" t="s">
        <v>32</v>
      </c>
      <c r="S210" t="s">
        <v>33</v>
      </c>
    </row>
    <row r="211" spans="1:22" ht="16">
      <c r="A211" t="s">
        <v>120</v>
      </c>
      <c r="B211" t="s">
        <v>710</v>
      </c>
      <c r="C211" t="s">
        <v>24</v>
      </c>
      <c r="D211" t="s">
        <v>148</v>
      </c>
      <c r="E211" t="s">
        <v>45</v>
      </c>
      <c r="F211" t="s">
        <v>102</v>
      </c>
      <c r="G211" t="str">
        <f>HYPERLINK("https://www.facebook.com/1558546882114516")</f>
        <v>https://www.facebook.com/1558546882114516</v>
      </c>
      <c r="H211" t="s">
        <v>28</v>
      </c>
      <c r="I211" t="s">
        <v>712</v>
      </c>
      <c r="K211" t="str">
        <f>HYPERLINK("https://www.facebook.com/100038776580636")</f>
        <v>https://www.facebook.com/100038776580636</v>
      </c>
      <c r="M211" t="s">
        <v>40</v>
      </c>
      <c r="N211" t="s">
        <v>31</v>
      </c>
      <c r="O211" t="s">
        <v>712</v>
      </c>
      <c r="P211" t="str">
        <f>HYPERLINK("https://www.facebook.com/100038776580636")</f>
        <v>https://www.facebook.com/100038776580636</v>
      </c>
      <c r="R211" t="s">
        <v>32</v>
      </c>
      <c r="S211" t="s">
        <v>33</v>
      </c>
      <c r="T211" t="s">
        <v>34</v>
      </c>
      <c r="U211" t="s">
        <v>41</v>
      </c>
      <c r="V211" t="s">
        <v>42</v>
      </c>
    </row>
    <row r="212" spans="1:22" ht="16">
      <c r="A212" t="s">
        <v>120</v>
      </c>
      <c r="B212" t="s">
        <v>710</v>
      </c>
      <c r="C212" t="s">
        <v>72</v>
      </c>
      <c r="D212" t="s">
        <v>713</v>
      </c>
      <c r="E212" t="s">
        <v>74</v>
      </c>
      <c r="F212" t="s">
        <v>3</v>
      </c>
      <c r="G212" t="str">
        <f>HYPERLINK("https://www.facebook.com/permalink.php?story_fbid=pfbid022EiDACdienKpjPECyX349BaVUSYZJn3ACWNGRCFbfhcrL4SL4Kmz7CmKJrKfz1J4l&amp;id=100009468959379&amp;comment_id=1425284259090472")</f>
        <v>https://www.facebook.com/permalink.php?story_fbid=pfbid022EiDACdienKpjPECyX349BaVUSYZJn3ACWNGRCFbfhcrL4SL4Kmz7CmKJrKfz1J4l&amp;id=100009468959379&amp;comment_id=1425284259090472</v>
      </c>
      <c r="H212" t="s">
        <v>28</v>
      </c>
      <c r="I212" t="s">
        <v>714</v>
      </c>
      <c r="K212" t="str">
        <f>HYPERLINK("https://www.facebook.com/100035456001095")</f>
        <v>https://www.facebook.com/100035456001095</v>
      </c>
      <c r="M212" t="s">
        <v>30</v>
      </c>
      <c r="N212" t="s">
        <v>31</v>
      </c>
      <c r="O212" t="s">
        <v>76</v>
      </c>
      <c r="P212" t="str">
        <f>HYPERLINK("https://www.facebook.com/100009468959379")</f>
        <v>https://www.facebook.com/100009468959379</v>
      </c>
      <c r="R212" t="s">
        <v>32</v>
      </c>
      <c r="S212" t="s">
        <v>33</v>
      </c>
      <c r="T212" t="s">
        <v>34</v>
      </c>
      <c r="U212" t="s">
        <v>41</v>
      </c>
      <c r="V212" t="s">
        <v>42</v>
      </c>
    </row>
    <row r="213" spans="1:22" ht="16">
      <c r="A213" t="s">
        <v>120</v>
      </c>
      <c r="B213" t="s">
        <v>715</v>
      </c>
      <c r="C213" t="s">
        <v>72</v>
      </c>
      <c r="D213" t="s">
        <v>716</v>
      </c>
      <c r="E213" t="s">
        <v>74</v>
      </c>
      <c r="F213" t="s">
        <v>3</v>
      </c>
      <c r="G213" t="str">
        <f>HYPERLINK("https://www.facebook.com/permalink.php?story_fbid=pfbid022EiDACdienKpjPECyX349BaVUSYZJn3ACWNGRCFbfhcrL4SL4Kmz7CmKJrKfz1J4l&amp;id=100009468959379&amp;comment_id=759991563556652")</f>
        <v>https://www.facebook.com/permalink.php?story_fbid=pfbid022EiDACdienKpjPECyX349BaVUSYZJn3ACWNGRCFbfhcrL4SL4Kmz7CmKJrKfz1J4l&amp;id=100009468959379&amp;comment_id=759991563556652</v>
      </c>
      <c r="H213" t="s">
        <v>28</v>
      </c>
      <c r="I213" t="s">
        <v>717</v>
      </c>
      <c r="J213" t="s">
        <v>718</v>
      </c>
      <c r="K213" t="str">
        <f>HYPERLINK("https://www.facebook.com/100041385463740")</f>
        <v>https://www.facebook.com/100041385463740</v>
      </c>
      <c r="L213">
        <v>387</v>
      </c>
      <c r="M213" t="s">
        <v>40</v>
      </c>
      <c r="N213" t="s">
        <v>31</v>
      </c>
      <c r="O213" t="s">
        <v>76</v>
      </c>
      <c r="P213" t="str">
        <f>HYPERLINK("https://www.facebook.com/100009468959379")</f>
        <v>https://www.facebook.com/100009468959379</v>
      </c>
      <c r="R213" t="s">
        <v>32</v>
      </c>
      <c r="S213" t="s">
        <v>33</v>
      </c>
      <c r="T213" t="s">
        <v>34</v>
      </c>
      <c r="U213" t="s">
        <v>58</v>
      </c>
      <c r="V213" t="s">
        <v>58</v>
      </c>
    </row>
    <row r="214" spans="1:20" ht="16">
      <c r="A214" t="s">
        <v>120</v>
      </c>
      <c r="B214" t="s">
        <v>719</v>
      </c>
      <c r="C214" t="s">
        <v>80</v>
      </c>
      <c r="D214" t="s">
        <v>720</v>
      </c>
      <c r="E214" t="s">
        <v>74</v>
      </c>
      <c r="F214" t="s">
        <v>3</v>
      </c>
      <c r="G214" t="str">
        <f>HYPERLINK("https://www.facebook.com/groups/203532743338330/posts/2751632061861706/?comment_id=2751640858527493")</f>
        <v>https://www.facebook.com/groups/203532743338330/posts/2751632061861706/?comment_id=2751640858527493</v>
      </c>
      <c r="H214" t="s">
        <v>28</v>
      </c>
      <c r="I214" t="s">
        <v>721</v>
      </c>
      <c r="K214" t="str">
        <f>HYPERLINK("https://www.facebook.com/61576976997207")</f>
        <v>https://www.facebook.com/61576976997207</v>
      </c>
      <c r="M214" t="s">
        <v>30</v>
      </c>
      <c r="N214" t="s">
        <v>31</v>
      </c>
      <c r="O214" t="s">
        <v>262</v>
      </c>
      <c r="P214" t="str">
        <f>HYPERLINK("https://www.facebook.com/203532743338330")</f>
        <v>https://www.facebook.com/203532743338330</v>
      </c>
      <c r="Q214">
        <v>26211</v>
      </c>
      <c r="R214" t="s">
        <v>32</v>
      </c>
      <c r="S214" t="s">
        <v>33</v>
      </c>
      <c r="T214" t="s">
        <v>34</v>
      </c>
    </row>
    <row r="215" spans="1:19" ht="16">
      <c r="A215" t="s">
        <v>120</v>
      </c>
      <c r="B215" t="s">
        <v>722</v>
      </c>
      <c r="C215" t="s">
        <v>24</v>
      </c>
      <c r="D215" t="s">
        <v>148</v>
      </c>
      <c r="E215" t="s">
        <v>26</v>
      </c>
      <c r="F215" t="s">
        <v>102</v>
      </c>
      <c r="G215" t="str">
        <f>HYPERLINK("https://www.facebook.com/4488039608188293")</f>
        <v>https://www.facebook.com/4488039608188293</v>
      </c>
      <c r="H215" t="s">
        <v>28</v>
      </c>
      <c r="I215" t="s">
        <v>76</v>
      </c>
      <c r="K215" t="str">
        <f>HYPERLINK("https://www.facebook.com/100009468959379")</f>
        <v>https://www.facebook.com/100009468959379</v>
      </c>
      <c r="M215" t="s">
        <v>30</v>
      </c>
      <c r="N215" t="s">
        <v>31</v>
      </c>
      <c r="O215" t="s">
        <v>76</v>
      </c>
      <c r="P215" t="str">
        <f>HYPERLINK("https://www.facebook.com/100009468959379")</f>
        <v>https://www.facebook.com/100009468959379</v>
      </c>
      <c r="R215" t="s">
        <v>32</v>
      </c>
      <c r="S215" t="s">
        <v>33</v>
      </c>
    </row>
    <row r="216" spans="1:19" ht="16">
      <c r="A216" t="s">
        <v>120</v>
      </c>
      <c r="B216" t="s">
        <v>723</v>
      </c>
      <c r="C216" t="s">
        <v>80</v>
      </c>
      <c r="D216" t="s">
        <v>724</v>
      </c>
      <c r="E216" t="s">
        <v>74</v>
      </c>
      <c r="F216" t="s">
        <v>3</v>
      </c>
      <c r="G216" t="str">
        <f>HYPERLINK("https://www.facebook.com/groups/1785342108299314/posts/3443937249106450/?comment_id=3444081645758677")</f>
        <v>https://www.facebook.com/groups/1785342108299314/posts/3443937249106450/?comment_id=3444081645758677</v>
      </c>
      <c r="H216" t="s">
        <v>28</v>
      </c>
      <c r="I216" t="s">
        <v>725</v>
      </c>
      <c r="K216" t="str">
        <f>HYPERLINK("https://www.facebook.com/100055891341859")</f>
        <v>https://www.facebook.com/100055891341859</v>
      </c>
      <c r="M216" t="s">
        <v>30</v>
      </c>
      <c r="N216" t="s">
        <v>31</v>
      </c>
      <c r="O216" t="s">
        <v>290</v>
      </c>
      <c r="P216" t="str">
        <f>HYPERLINK("https://www.facebook.com/1785342108299314")</f>
        <v>https://www.facebook.com/1785342108299314</v>
      </c>
      <c r="Q216">
        <v>13241</v>
      </c>
      <c r="R216" t="s">
        <v>32</v>
      </c>
      <c r="S216" t="s">
        <v>85</v>
      </c>
    </row>
    <row r="217" spans="1:21" ht="16">
      <c r="A217" t="s">
        <v>120</v>
      </c>
      <c r="B217" t="s">
        <v>726</v>
      </c>
      <c r="C217" t="s">
        <v>24</v>
      </c>
      <c r="D217" t="s">
        <v>142</v>
      </c>
      <c r="E217" t="s">
        <v>45</v>
      </c>
      <c r="F217" t="s">
        <v>46</v>
      </c>
      <c r="G217" t="str">
        <f>HYPERLINK("https://www.facebook.com/26955015984100124")</f>
        <v>https://www.facebook.com/26955015984100124</v>
      </c>
      <c r="H217" t="s">
        <v>28</v>
      </c>
      <c r="I217" t="s">
        <v>727</v>
      </c>
      <c r="K217" t="str">
        <f>HYPERLINK("https://www.facebook.com/100000552628477")</f>
        <v>https://www.facebook.com/100000552628477</v>
      </c>
      <c r="M217" t="s">
        <v>30</v>
      </c>
      <c r="N217" t="s">
        <v>31</v>
      </c>
      <c r="O217" t="s">
        <v>727</v>
      </c>
      <c r="P217" t="str">
        <f>HYPERLINK("https://www.facebook.com/100000552628477")</f>
        <v>https://www.facebook.com/100000552628477</v>
      </c>
      <c r="R217" t="s">
        <v>32</v>
      </c>
      <c r="S217" t="s">
        <v>33</v>
      </c>
      <c r="T217" t="s">
        <v>34</v>
      </c>
      <c r="U217" t="s">
        <v>309</v>
      </c>
    </row>
    <row r="218" spans="1:22" ht="16">
      <c r="A218" t="s">
        <v>120</v>
      </c>
      <c r="B218" t="s">
        <v>728</v>
      </c>
      <c r="C218" t="s">
        <v>24</v>
      </c>
      <c r="D218" t="s">
        <v>165</v>
      </c>
      <c r="E218" t="s">
        <v>45</v>
      </c>
      <c r="F218" t="s">
        <v>46</v>
      </c>
      <c r="G218" t="str">
        <f>HYPERLINK("https://www.facebook.com/2751632061861706")</f>
        <v>https://www.facebook.com/2751632061861706</v>
      </c>
      <c r="H218" t="s">
        <v>28</v>
      </c>
      <c r="I218" t="s">
        <v>729</v>
      </c>
      <c r="K218" t="str">
        <f>HYPERLINK("https://www.facebook.com/100009733424419")</f>
        <v>https://www.facebook.com/100009733424419</v>
      </c>
      <c r="M218" t="s">
        <v>40</v>
      </c>
      <c r="N218" t="s">
        <v>31</v>
      </c>
      <c r="O218" t="s">
        <v>262</v>
      </c>
      <c r="P218" t="str">
        <f>HYPERLINK("https://www.facebook.com/203532743338330")</f>
        <v>https://www.facebook.com/203532743338330</v>
      </c>
      <c r="Q218">
        <v>26211</v>
      </c>
      <c r="R218" t="s">
        <v>32</v>
      </c>
      <c r="S218" t="s">
        <v>33</v>
      </c>
      <c r="T218" t="s">
        <v>34</v>
      </c>
      <c r="U218" t="s">
        <v>167</v>
      </c>
      <c r="V218" t="s">
        <v>660</v>
      </c>
    </row>
    <row r="219" spans="1:20" ht="16">
      <c r="A219" t="s">
        <v>120</v>
      </c>
      <c r="B219" t="s">
        <v>730</v>
      </c>
      <c r="C219" t="s">
        <v>24</v>
      </c>
      <c r="D219" t="s">
        <v>275</v>
      </c>
      <c r="E219" t="s">
        <v>45</v>
      </c>
      <c r="F219" t="s">
        <v>3</v>
      </c>
      <c r="G219" t="str">
        <f>HYPERLINK("https://twitter.com/AndrijKij17233/status/2028086815299657995")</f>
        <v>https://twitter.com/AndrijKij17233/status/2028086815299657995</v>
      </c>
      <c r="H219" t="s">
        <v>28</v>
      </c>
      <c r="I219" t="s">
        <v>731</v>
      </c>
      <c r="J219" t="s">
        <v>732</v>
      </c>
      <c r="K219" t="str">
        <f>HYPERLINK("http://twitter.com/AndrijKij17233")</f>
        <v>http://twitter.com/AndrijKij17233</v>
      </c>
      <c r="L219">
        <v>105</v>
      </c>
      <c r="M219" t="s">
        <v>40</v>
      </c>
      <c r="N219" t="s">
        <v>278</v>
      </c>
      <c r="R219" t="s">
        <v>32</v>
      </c>
      <c r="S219" t="s">
        <v>33</v>
      </c>
      <c r="T219" t="s">
        <v>34</v>
      </c>
    </row>
    <row r="220" spans="1:22" ht="16">
      <c r="A220" t="s">
        <v>120</v>
      </c>
      <c r="B220" t="s">
        <v>730</v>
      </c>
      <c r="C220" t="s">
        <v>80</v>
      </c>
      <c r="D220" t="s">
        <v>733</v>
      </c>
      <c r="E220" t="s">
        <v>74</v>
      </c>
      <c r="F220" t="s">
        <v>3</v>
      </c>
      <c r="G220" t="str">
        <f>HYPERLINK("https://www.facebook.com/groups/1785342108299314/posts/3443937249106450/?comment_id=3444069839093191")</f>
        <v>https://www.facebook.com/groups/1785342108299314/posts/3443937249106450/?comment_id=3444069839093191</v>
      </c>
      <c r="H220" t="s">
        <v>28</v>
      </c>
      <c r="I220" t="s">
        <v>734</v>
      </c>
      <c r="J220" t="s">
        <v>735</v>
      </c>
      <c r="K220" t="str">
        <f>HYPERLINK("https://www.facebook.com/100036509174904")</f>
        <v>https://www.facebook.com/100036509174904</v>
      </c>
      <c r="M220" t="s">
        <v>40</v>
      </c>
      <c r="N220" t="s">
        <v>31</v>
      </c>
      <c r="O220" t="s">
        <v>290</v>
      </c>
      <c r="P220" t="str">
        <f>HYPERLINK("https://www.facebook.com/1785342108299314")</f>
        <v>https://www.facebook.com/1785342108299314</v>
      </c>
      <c r="Q220">
        <v>13241</v>
      </c>
      <c r="R220" t="s">
        <v>32</v>
      </c>
      <c r="S220" t="s">
        <v>33</v>
      </c>
      <c r="T220" t="s">
        <v>34</v>
      </c>
      <c r="U220" t="s">
        <v>167</v>
      </c>
      <c r="V220" t="s">
        <v>189</v>
      </c>
    </row>
    <row r="221" spans="1:22" ht="16">
      <c r="A221" t="s">
        <v>120</v>
      </c>
      <c r="B221" t="s">
        <v>736</v>
      </c>
      <c r="C221" t="s">
        <v>80</v>
      </c>
      <c r="D221" t="s">
        <v>737</v>
      </c>
      <c r="E221" t="s">
        <v>74</v>
      </c>
      <c r="F221" t="s">
        <v>3</v>
      </c>
      <c r="G221" t="str">
        <f>HYPERLINK("https://www.facebook.com/groups/1785342108299314/posts/3443937249106450/?comment_id=3444055885761253")</f>
        <v>https://www.facebook.com/groups/1785342108299314/posts/3443937249106450/?comment_id=3444055885761253</v>
      </c>
      <c r="H221" t="s">
        <v>28</v>
      </c>
      <c r="I221" t="s">
        <v>738</v>
      </c>
      <c r="K221" t="str">
        <f>HYPERLINK("https://www.facebook.com/100042168610338")</f>
        <v>https://www.facebook.com/100042168610338</v>
      </c>
      <c r="M221" t="s">
        <v>30</v>
      </c>
      <c r="N221" t="s">
        <v>31</v>
      </c>
      <c r="O221" t="s">
        <v>290</v>
      </c>
      <c r="P221" t="str">
        <f>HYPERLINK("https://www.facebook.com/1785342108299314")</f>
        <v>https://www.facebook.com/1785342108299314</v>
      </c>
      <c r="Q221">
        <v>13241</v>
      </c>
      <c r="R221" t="s">
        <v>32</v>
      </c>
      <c r="S221" t="s">
        <v>33</v>
      </c>
      <c r="T221" t="s">
        <v>34</v>
      </c>
      <c r="U221" t="s">
        <v>41</v>
      </c>
      <c r="V221" t="s">
        <v>42</v>
      </c>
    </row>
    <row r="222" spans="1:22" ht="16">
      <c r="A222" t="s">
        <v>120</v>
      </c>
      <c r="B222" t="s">
        <v>739</v>
      </c>
      <c r="C222" t="s">
        <v>80</v>
      </c>
      <c r="D222" t="s">
        <v>740</v>
      </c>
      <c r="E222" t="s">
        <v>74</v>
      </c>
      <c r="F222" t="s">
        <v>3</v>
      </c>
      <c r="G222" t="str">
        <f>HYPERLINK("https://www.facebook.com/groups/1785342108299314/posts/3443937249106450/?comment_id=3444029999097175")</f>
        <v>https://www.facebook.com/groups/1785342108299314/posts/3443937249106450/?comment_id=3444029999097175</v>
      </c>
      <c r="H222" t="s">
        <v>28</v>
      </c>
      <c r="I222" t="s">
        <v>741</v>
      </c>
      <c r="J222" t="s">
        <v>742</v>
      </c>
      <c r="K222" t="str">
        <f>HYPERLINK("https://www.facebook.com/100052647403841")</f>
        <v>https://www.facebook.com/100052647403841</v>
      </c>
      <c r="M222" t="s">
        <v>40</v>
      </c>
      <c r="N222" t="s">
        <v>31</v>
      </c>
      <c r="O222" t="s">
        <v>290</v>
      </c>
      <c r="P222" t="str">
        <f>HYPERLINK("https://www.facebook.com/1785342108299314")</f>
        <v>https://www.facebook.com/1785342108299314</v>
      </c>
      <c r="Q222">
        <v>13241</v>
      </c>
      <c r="R222" t="s">
        <v>32</v>
      </c>
      <c r="S222" t="s">
        <v>33</v>
      </c>
      <c r="T222" t="s">
        <v>199</v>
      </c>
      <c r="U222" t="s">
        <v>391</v>
      </c>
      <c r="V222" t="s">
        <v>743</v>
      </c>
    </row>
    <row r="223" spans="1:22" ht="16">
      <c r="A223" t="s">
        <v>120</v>
      </c>
      <c r="B223" t="s">
        <v>744</v>
      </c>
      <c r="C223" t="s">
        <v>80</v>
      </c>
      <c r="D223" t="s">
        <v>745</v>
      </c>
      <c r="E223" t="s">
        <v>74</v>
      </c>
      <c r="F223" t="s">
        <v>3</v>
      </c>
      <c r="G223" t="str">
        <f>HYPERLINK("https://www.facebook.com/groups/1785342108299314/posts/3443937249106450/?comment_id=3444020362431472")</f>
        <v>https://www.facebook.com/groups/1785342108299314/posts/3443937249106450/?comment_id=3444020362431472</v>
      </c>
      <c r="H223" t="s">
        <v>28</v>
      </c>
      <c r="I223" t="s">
        <v>445</v>
      </c>
      <c r="K223" t="str">
        <f>HYPERLINK("https://www.facebook.com/pfbid02uAQcVZCHLH1F7aVG64vWgwdpwqK9sP5uUgnmA42gMfJzAdWbb4ijerBRd697xCKdl")</f>
        <v>https://www.facebook.com/pfbid02uAQcVZCHLH1F7aVG64vWgwdpwqK9sP5uUgnmA42gMfJzAdWbb4ijerBRd697xCKdl</v>
      </c>
      <c r="M223" t="s">
        <v>30</v>
      </c>
      <c r="N223" t="s">
        <v>31</v>
      </c>
      <c r="O223" t="s">
        <v>290</v>
      </c>
      <c r="P223" t="str">
        <f>HYPERLINK("https://www.facebook.com/1785342108299314")</f>
        <v>https://www.facebook.com/1785342108299314</v>
      </c>
      <c r="Q223">
        <v>13241</v>
      </c>
      <c r="R223" t="s">
        <v>32</v>
      </c>
      <c r="S223" t="s">
        <v>57</v>
      </c>
      <c r="T223" t="s">
        <v>34</v>
      </c>
      <c r="U223" t="s">
        <v>167</v>
      </c>
      <c r="V223" t="s">
        <v>446</v>
      </c>
    </row>
    <row r="224" spans="1:22" ht="16">
      <c r="A224" t="s">
        <v>120</v>
      </c>
      <c r="B224" t="s">
        <v>746</v>
      </c>
      <c r="C224" t="s">
        <v>24</v>
      </c>
      <c r="D224" t="s">
        <v>49</v>
      </c>
      <c r="E224" t="s">
        <v>45</v>
      </c>
      <c r="F224" t="s">
        <v>46</v>
      </c>
      <c r="G224" t="str">
        <f>HYPERLINK("https://www.facebook.com/1838434803514788")</f>
        <v>https://www.facebook.com/1838434803514788</v>
      </c>
      <c r="H224" t="s">
        <v>28</v>
      </c>
      <c r="I224" t="s">
        <v>747</v>
      </c>
      <c r="K224" t="str">
        <f>HYPERLINK("https://www.facebook.com/100020448571193")</f>
        <v>https://www.facebook.com/100020448571193</v>
      </c>
      <c r="M224" t="s">
        <v>30</v>
      </c>
      <c r="N224" t="s">
        <v>31</v>
      </c>
      <c r="O224" t="s">
        <v>747</v>
      </c>
      <c r="P224" t="str">
        <f>HYPERLINK("https://www.facebook.com/100020448571193")</f>
        <v>https://www.facebook.com/100020448571193</v>
      </c>
      <c r="R224" t="s">
        <v>32</v>
      </c>
      <c r="S224" t="s">
        <v>33</v>
      </c>
      <c r="T224" t="s">
        <v>240</v>
      </c>
      <c r="U224" t="s">
        <v>366</v>
      </c>
      <c r="V224" t="s">
        <v>748</v>
      </c>
    </row>
    <row r="225" spans="1:22" ht="16">
      <c r="A225" t="s">
        <v>120</v>
      </c>
      <c r="B225" t="s">
        <v>749</v>
      </c>
      <c r="C225" t="s">
        <v>80</v>
      </c>
      <c r="D225" t="s">
        <v>750</v>
      </c>
      <c r="E225" t="s">
        <v>74</v>
      </c>
      <c r="F225" t="s">
        <v>3</v>
      </c>
      <c r="G225" t="str">
        <f>HYPERLINK("https://www.facebook.com/groups/1785342108299314/posts/3443937249106450/?comment_id=3443997059100469")</f>
        <v>https://www.facebook.com/groups/1785342108299314/posts/3443937249106450/?comment_id=3443997059100469</v>
      </c>
      <c r="H225" t="s">
        <v>28</v>
      </c>
      <c r="I225" t="s">
        <v>751</v>
      </c>
      <c r="K225" t="str">
        <f>HYPERLINK("https://www.facebook.com/100021087495673")</f>
        <v>https://www.facebook.com/100021087495673</v>
      </c>
      <c r="M225" t="s">
        <v>30</v>
      </c>
      <c r="N225" t="s">
        <v>31</v>
      </c>
      <c r="O225" t="s">
        <v>290</v>
      </c>
      <c r="P225" t="str">
        <f>HYPERLINK("https://www.facebook.com/1785342108299314")</f>
        <v>https://www.facebook.com/1785342108299314</v>
      </c>
      <c r="Q225">
        <v>13241</v>
      </c>
      <c r="R225" t="s">
        <v>32</v>
      </c>
      <c r="S225" t="s">
        <v>85</v>
      </c>
      <c r="T225" t="s">
        <v>34</v>
      </c>
      <c r="U225" t="s">
        <v>167</v>
      </c>
      <c r="V225" t="s">
        <v>752</v>
      </c>
    </row>
    <row r="226" spans="1:19" ht="16">
      <c r="A226" t="s">
        <v>120</v>
      </c>
      <c r="B226" t="s">
        <v>753</v>
      </c>
      <c r="C226" t="s">
        <v>24</v>
      </c>
      <c r="D226" t="s">
        <v>254</v>
      </c>
      <c r="E226" t="s">
        <v>45</v>
      </c>
      <c r="F226" t="s">
        <v>46</v>
      </c>
      <c r="G226" t="str">
        <f>HYPERLINK("https://www.facebook.com/898930819656959")</f>
        <v>https://www.facebook.com/898930819656959</v>
      </c>
      <c r="H226" t="s">
        <v>28</v>
      </c>
      <c r="I226" t="s">
        <v>754</v>
      </c>
      <c r="K226" t="str">
        <f>HYPERLINK("https://www.facebook.com/100086201477857")</f>
        <v>https://www.facebook.com/100086201477857</v>
      </c>
      <c r="M226" t="s">
        <v>40</v>
      </c>
      <c r="N226" t="s">
        <v>31</v>
      </c>
      <c r="O226" t="s">
        <v>754</v>
      </c>
      <c r="P226" t="str">
        <f>HYPERLINK("https://www.facebook.com/100086201477857")</f>
        <v>https://www.facebook.com/100086201477857</v>
      </c>
      <c r="R226" t="s">
        <v>32</v>
      </c>
      <c r="S226" t="s">
        <v>33</v>
      </c>
    </row>
    <row r="227" spans="1:19" ht="16">
      <c r="A227" t="s">
        <v>120</v>
      </c>
      <c r="B227" t="s">
        <v>753</v>
      </c>
      <c r="C227" t="s">
        <v>80</v>
      </c>
      <c r="D227" t="s">
        <v>755</v>
      </c>
      <c r="E227" t="s">
        <v>74</v>
      </c>
      <c r="F227" t="s">
        <v>3</v>
      </c>
      <c r="G227" t="str">
        <f>HYPERLINK("https://www.facebook.com/groups/1785342108299314/posts/3443937249106450/?comment_id=3443986622434846")</f>
        <v>https://www.facebook.com/groups/1785342108299314/posts/3443937249106450/?comment_id=3443986622434846</v>
      </c>
      <c r="H227" t="s">
        <v>28</v>
      </c>
      <c r="I227" t="s">
        <v>756</v>
      </c>
      <c r="K227" t="str">
        <f>HYPERLINK("https://www.facebook.com/100018080924746")</f>
        <v>https://www.facebook.com/100018080924746</v>
      </c>
      <c r="M227" t="s">
        <v>30</v>
      </c>
      <c r="N227" t="s">
        <v>31</v>
      </c>
      <c r="O227" t="s">
        <v>290</v>
      </c>
      <c r="P227" t="str">
        <f>HYPERLINK("https://www.facebook.com/1785342108299314")</f>
        <v>https://www.facebook.com/1785342108299314</v>
      </c>
      <c r="Q227">
        <v>13241</v>
      </c>
      <c r="R227" t="s">
        <v>32</v>
      </c>
      <c r="S227" t="s">
        <v>33</v>
      </c>
    </row>
    <row r="228" spans="1:20" ht="16">
      <c r="A228" t="s">
        <v>120</v>
      </c>
      <c r="B228" t="s">
        <v>757</v>
      </c>
      <c r="C228" t="s">
        <v>24</v>
      </c>
      <c r="D228" t="s">
        <v>275</v>
      </c>
      <c r="E228" t="s">
        <v>45</v>
      </c>
      <c r="F228" t="s">
        <v>3</v>
      </c>
      <c r="G228" t="str">
        <f>HYPERLINK("https://twitter.com/sposterigaem/status/2028060233864470707")</f>
        <v>https://twitter.com/sposterigaem/status/2028060233864470707</v>
      </c>
      <c r="H228" t="s">
        <v>28</v>
      </c>
      <c r="I228" t="s">
        <v>758</v>
      </c>
      <c r="J228" t="s">
        <v>759</v>
      </c>
      <c r="K228" t="str">
        <f>HYPERLINK("http://twitter.com/sposterigaem")</f>
        <v>http://twitter.com/sposterigaem</v>
      </c>
      <c r="L228">
        <v>436</v>
      </c>
      <c r="N228" t="s">
        <v>278</v>
      </c>
      <c r="R228" t="s">
        <v>32</v>
      </c>
      <c r="S228" t="s">
        <v>33</v>
      </c>
      <c r="T228" t="s">
        <v>34</v>
      </c>
    </row>
    <row r="229" spans="1:22" ht="16">
      <c r="A229" t="s">
        <v>120</v>
      </c>
      <c r="B229" t="s">
        <v>760</v>
      </c>
      <c r="C229" t="s">
        <v>80</v>
      </c>
      <c r="D229" t="s">
        <v>761</v>
      </c>
      <c r="E229" t="s">
        <v>74</v>
      </c>
      <c r="F229" t="s">
        <v>3</v>
      </c>
      <c r="G229" t="str">
        <f>HYPERLINK("https://www.facebook.com/urij.hort.2025/posts/pfbid02GbL3fLjUYKqMFcxWd6oLjtKkDm3BVxpw3ucodexeg6HvuZpd8jud8XmFb9xJ85ZLl?comment_id=3220026911505462")</f>
        <v>https://www.facebook.com/urij.hort.2025/posts/pfbid02GbL3fLjUYKqMFcxWd6oLjtKkDm3BVxpw3ucodexeg6HvuZpd8jud8XmFb9xJ85ZLl?comment_id=3220026911505462</v>
      </c>
      <c r="H229" t="s">
        <v>28</v>
      </c>
      <c r="I229" t="s">
        <v>762</v>
      </c>
      <c r="K229" t="str">
        <f>HYPERLINK("https://www.facebook.com/100018459939771")</f>
        <v>https://www.facebook.com/100018459939771</v>
      </c>
      <c r="M229" t="s">
        <v>30</v>
      </c>
      <c r="N229" t="s">
        <v>31</v>
      </c>
      <c r="O229" t="s">
        <v>763</v>
      </c>
      <c r="P229" t="str">
        <f>HYPERLINK("https://www.facebook.com/100075992182284")</f>
        <v>https://www.facebook.com/100075992182284</v>
      </c>
      <c r="R229" t="s">
        <v>32</v>
      </c>
      <c r="S229" t="s">
        <v>33</v>
      </c>
      <c r="T229" t="s">
        <v>34</v>
      </c>
      <c r="U229" t="s">
        <v>58</v>
      </c>
      <c r="V229" t="s">
        <v>58</v>
      </c>
    </row>
    <row r="230" spans="1:22" ht="16">
      <c r="A230" t="s">
        <v>120</v>
      </c>
      <c r="B230" t="s">
        <v>764</v>
      </c>
      <c r="C230" t="s">
        <v>80</v>
      </c>
      <c r="D230" t="s">
        <v>765</v>
      </c>
      <c r="E230" t="s">
        <v>74</v>
      </c>
      <c r="F230" t="s">
        <v>3</v>
      </c>
      <c r="G230" t="str">
        <f>HYPERLINK("https://www.facebook.com/groups/1785342108299314/posts/3443937249106450/?comment_id=3443962905770551")</f>
        <v>https://www.facebook.com/groups/1785342108299314/posts/3443937249106450/?comment_id=3443962905770551</v>
      </c>
      <c r="H230" t="s">
        <v>28</v>
      </c>
      <c r="I230" t="s">
        <v>766</v>
      </c>
      <c r="K230" t="str">
        <f>HYPERLINK("https://www.facebook.com/100069355531186")</f>
        <v>https://www.facebook.com/100069355531186</v>
      </c>
      <c r="M230" t="s">
        <v>40</v>
      </c>
      <c r="N230" t="s">
        <v>31</v>
      </c>
      <c r="O230" t="s">
        <v>290</v>
      </c>
      <c r="P230" t="str">
        <f>HYPERLINK("https://www.facebook.com/1785342108299314")</f>
        <v>https://www.facebook.com/1785342108299314</v>
      </c>
      <c r="Q230">
        <v>13241</v>
      </c>
      <c r="R230" t="s">
        <v>32</v>
      </c>
      <c r="S230" t="s">
        <v>85</v>
      </c>
      <c r="T230" t="s">
        <v>34</v>
      </c>
      <c r="U230" t="s">
        <v>167</v>
      </c>
      <c r="V230" t="s">
        <v>752</v>
      </c>
    </row>
    <row r="231" spans="1:22" ht="16">
      <c r="A231" t="s">
        <v>120</v>
      </c>
      <c r="B231" t="s">
        <v>767</v>
      </c>
      <c r="C231" t="s">
        <v>768</v>
      </c>
      <c r="D231" t="s">
        <v>769</v>
      </c>
      <c r="E231" t="s">
        <v>74</v>
      </c>
      <c r="F231" t="s">
        <v>3</v>
      </c>
      <c r="G231" t="str">
        <f>HYPERLINK("https://www.facebook.com/groups/news.ternopil/posts/2689317538095298/?comment_id=2689324318094620")</f>
        <v>https://www.facebook.com/groups/news.ternopil/posts/2689317538095298/?comment_id=2689324318094620</v>
      </c>
      <c r="H231" t="s">
        <v>28</v>
      </c>
      <c r="I231" t="s">
        <v>770</v>
      </c>
      <c r="K231" t="str">
        <f>HYPERLINK("https://www.facebook.com/61576148404980")</f>
        <v>https://www.facebook.com/61576148404980</v>
      </c>
      <c r="M231" t="s">
        <v>40</v>
      </c>
      <c r="N231" t="s">
        <v>31</v>
      </c>
      <c r="O231" t="s">
        <v>771</v>
      </c>
      <c r="P231" t="str">
        <f>HYPERLINK("https://www.facebook.com/316879982005744")</f>
        <v>https://www.facebook.com/316879982005744</v>
      </c>
      <c r="Q231">
        <v>8918</v>
      </c>
      <c r="R231" t="s">
        <v>32</v>
      </c>
      <c r="S231" t="s">
        <v>33</v>
      </c>
      <c r="T231" t="s">
        <v>199</v>
      </c>
      <c r="U231" t="s">
        <v>772</v>
      </c>
      <c r="V231" t="s">
        <v>773</v>
      </c>
    </row>
    <row r="232" spans="1:22" ht="16">
      <c r="A232" t="s">
        <v>120</v>
      </c>
      <c r="B232" t="s">
        <v>767</v>
      </c>
      <c r="C232" t="s">
        <v>80</v>
      </c>
      <c r="D232" t="s">
        <v>774</v>
      </c>
      <c r="E232" t="s">
        <v>74</v>
      </c>
      <c r="F232" t="s">
        <v>3</v>
      </c>
      <c r="G232" t="str">
        <f>HYPERLINK("https://www.facebook.com/vadym.druz.1/posts/pfbid0kVVk9VYHdAw6snLskNovfENybSJU1jVtz2bs5GSqdByXqCGJ1LyZ6pUDEwVBMscVl?comment_id=1291730959525753")</f>
        <v>https://www.facebook.com/vadym.druz.1/posts/pfbid0kVVk9VYHdAw6snLskNovfENybSJU1jVtz2bs5GSqdByXqCGJ1LyZ6pUDEwVBMscVl?comment_id=1291730959525753</v>
      </c>
      <c r="H232" t="s">
        <v>28</v>
      </c>
      <c r="I232" t="s">
        <v>650</v>
      </c>
      <c r="K232" t="str">
        <f>HYPERLINK("https://www.facebook.com/100079685467649")</f>
        <v>https://www.facebook.com/100079685467649</v>
      </c>
      <c r="M232" t="s">
        <v>30</v>
      </c>
      <c r="N232" t="s">
        <v>31</v>
      </c>
      <c r="O232" t="s">
        <v>775</v>
      </c>
      <c r="P232" t="str">
        <f>HYPERLINK("https://www.facebook.com/1146137100")</f>
        <v>https://www.facebook.com/1146137100</v>
      </c>
      <c r="R232" t="s">
        <v>32</v>
      </c>
      <c r="S232" t="s">
        <v>33</v>
      </c>
      <c r="T232" t="s">
        <v>34</v>
      </c>
      <c r="U232" t="s">
        <v>58</v>
      </c>
      <c r="V232" t="s">
        <v>58</v>
      </c>
    </row>
    <row r="233" spans="1:22" ht="16">
      <c r="A233" t="s">
        <v>120</v>
      </c>
      <c r="B233" t="s">
        <v>776</v>
      </c>
      <c r="C233" t="s">
        <v>768</v>
      </c>
      <c r="D233" t="s">
        <v>777</v>
      </c>
      <c r="E233" t="s">
        <v>74</v>
      </c>
      <c r="F233" t="s">
        <v>3</v>
      </c>
      <c r="G233" t="str">
        <f>HYPERLINK("https://www.facebook.com/groups/2129578333731579/posts/26381058651490209/?comment_id=26381121614817246")</f>
        <v>https://www.facebook.com/groups/2129578333731579/posts/26381058651490209/?comment_id=26381121614817246</v>
      </c>
      <c r="H233" t="s">
        <v>28</v>
      </c>
      <c r="I233" t="s">
        <v>778</v>
      </c>
      <c r="J233" t="s">
        <v>779</v>
      </c>
      <c r="K233" t="str">
        <f>HYPERLINK("https://www.facebook.com/pfbid021B7jFtxq3vkhhvQNPghWKtv9AncYn85vFiznCsTbPKaJtg3BFRv2R3FUrSRzv5hPl")</f>
        <v>https://www.facebook.com/pfbid021B7jFtxq3vkhhvQNPghWKtv9AncYn85vFiznCsTbPKaJtg3BFRv2R3FUrSRzv5hPl</v>
      </c>
      <c r="M233" t="s">
        <v>40</v>
      </c>
      <c r="N233" t="s">
        <v>31</v>
      </c>
      <c r="O233" t="s">
        <v>780</v>
      </c>
      <c r="P233" t="str">
        <f>HYPERLINK("https://www.facebook.com/2129578333731579")</f>
        <v>https://www.facebook.com/2129578333731579</v>
      </c>
      <c r="Q233">
        <v>483156</v>
      </c>
      <c r="R233" t="s">
        <v>32</v>
      </c>
      <c r="S233" t="s">
        <v>57</v>
      </c>
      <c r="T233" t="s">
        <v>34</v>
      </c>
      <c r="U233" t="s">
        <v>384</v>
      </c>
      <c r="V233" t="s">
        <v>781</v>
      </c>
    </row>
    <row r="234" spans="1:22" ht="16">
      <c r="A234" t="s">
        <v>120</v>
      </c>
      <c r="B234" t="s">
        <v>782</v>
      </c>
      <c r="C234" t="s">
        <v>80</v>
      </c>
      <c r="D234" t="s">
        <v>783</v>
      </c>
      <c r="E234" t="s">
        <v>74</v>
      </c>
      <c r="F234" t="s">
        <v>3</v>
      </c>
      <c r="G234" t="str">
        <f>HYPERLINK("https://www.facebook.com/groups/1785342108299314/posts/3443937249106450/?comment_id=3443949412438567")</f>
        <v>https://www.facebook.com/groups/1785342108299314/posts/3443937249106450/?comment_id=3443949412438567</v>
      </c>
      <c r="H234" t="s">
        <v>28</v>
      </c>
      <c r="I234" t="s">
        <v>784</v>
      </c>
      <c r="K234" t="str">
        <f>HYPERLINK("https://www.facebook.com/100013175953130")</f>
        <v>https://www.facebook.com/100013175953130</v>
      </c>
      <c r="M234" t="s">
        <v>30</v>
      </c>
      <c r="N234" t="s">
        <v>31</v>
      </c>
      <c r="O234" t="s">
        <v>290</v>
      </c>
      <c r="P234" t="str">
        <f>HYPERLINK("https://www.facebook.com/1785342108299314")</f>
        <v>https://www.facebook.com/1785342108299314</v>
      </c>
      <c r="Q234">
        <v>13241</v>
      </c>
      <c r="R234" t="s">
        <v>32</v>
      </c>
      <c r="S234" t="s">
        <v>33</v>
      </c>
      <c r="T234" t="s">
        <v>34</v>
      </c>
      <c r="U234" t="s">
        <v>167</v>
      </c>
      <c r="V234" t="s">
        <v>752</v>
      </c>
    </row>
    <row r="235" spans="1:19" ht="16">
      <c r="A235" t="s">
        <v>120</v>
      </c>
      <c r="B235" t="s">
        <v>782</v>
      </c>
      <c r="C235" t="s">
        <v>80</v>
      </c>
      <c r="D235" t="s">
        <v>785</v>
      </c>
      <c r="E235" t="s">
        <v>74</v>
      </c>
      <c r="F235" t="s">
        <v>3</v>
      </c>
      <c r="G235" t="str">
        <f>HYPERLINK("https://www.facebook.com/groups/1785342108299314/posts/3443937249106450/?comment_id=3443948942438614")</f>
        <v>https://www.facebook.com/groups/1785342108299314/posts/3443937249106450/?comment_id=3443948942438614</v>
      </c>
      <c r="H235" t="s">
        <v>28</v>
      </c>
      <c r="I235" t="s">
        <v>786</v>
      </c>
      <c r="K235" t="str">
        <f>HYPERLINK("https://www.facebook.com/100037913899921")</f>
        <v>https://www.facebook.com/100037913899921</v>
      </c>
      <c r="M235" t="s">
        <v>40</v>
      </c>
      <c r="N235" t="s">
        <v>31</v>
      </c>
      <c r="O235" t="s">
        <v>290</v>
      </c>
      <c r="P235" t="str">
        <f>HYPERLINK("https://www.facebook.com/1785342108299314")</f>
        <v>https://www.facebook.com/1785342108299314</v>
      </c>
      <c r="Q235">
        <v>13241</v>
      </c>
      <c r="R235" t="s">
        <v>32</v>
      </c>
      <c r="S235" t="s">
        <v>33</v>
      </c>
    </row>
    <row r="236" spans="1:22" ht="16">
      <c r="A236" t="s">
        <v>120</v>
      </c>
      <c r="B236" t="s">
        <v>787</v>
      </c>
      <c r="C236" t="s">
        <v>80</v>
      </c>
      <c r="D236" t="s">
        <v>788</v>
      </c>
      <c r="E236" t="s">
        <v>74</v>
      </c>
      <c r="F236" t="s">
        <v>3</v>
      </c>
      <c r="G236" t="str">
        <f>HYPERLINK("https://www.facebook.com/groups/1785342108299314/posts/3443937249106450/?comment_id=3443946162438892")</f>
        <v>https://www.facebook.com/groups/1785342108299314/posts/3443937249106450/?comment_id=3443946162438892</v>
      </c>
      <c r="H236" t="s">
        <v>28</v>
      </c>
      <c r="I236" t="s">
        <v>789</v>
      </c>
      <c r="K236" t="str">
        <f>HYPERLINK("https://www.facebook.com/100028743468570")</f>
        <v>https://www.facebook.com/100028743468570</v>
      </c>
      <c r="M236" t="s">
        <v>30</v>
      </c>
      <c r="N236" t="s">
        <v>31</v>
      </c>
      <c r="O236" t="s">
        <v>290</v>
      </c>
      <c r="P236" t="str">
        <f>HYPERLINK("https://www.facebook.com/1785342108299314")</f>
        <v>https://www.facebook.com/1785342108299314</v>
      </c>
      <c r="Q236">
        <v>13241</v>
      </c>
      <c r="R236" t="s">
        <v>32</v>
      </c>
      <c r="S236" t="s">
        <v>33</v>
      </c>
      <c r="T236" t="s">
        <v>34</v>
      </c>
      <c r="U236" t="s">
        <v>167</v>
      </c>
      <c r="V236" t="s">
        <v>752</v>
      </c>
    </row>
    <row r="237" spans="1:19" ht="16">
      <c r="A237" t="s">
        <v>120</v>
      </c>
      <c r="B237" t="s">
        <v>790</v>
      </c>
      <c r="C237" t="s">
        <v>24</v>
      </c>
      <c r="D237" t="s">
        <v>49</v>
      </c>
      <c r="E237" t="s">
        <v>45</v>
      </c>
      <c r="F237" t="s">
        <v>46</v>
      </c>
      <c r="G237" t="str">
        <f>HYPERLINK("https://www.facebook.com/3968776620079519")</f>
        <v>https://www.facebook.com/3968776620079519</v>
      </c>
      <c r="H237" t="s">
        <v>28</v>
      </c>
      <c r="I237" t="s">
        <v>66</v>
      </c>
      <c r="K237" t="str">
        <f t="shared" si="6" ref="K237:K250">HYPERLINK("https://www.facebook.com/61555713080974")</f>
        <v>https://www.facebook.com/61555713080974</v>
      </c>
      <c r="N237" t="s">
        <v>31</v>
      </c>
      <c r="O237" t="s">
        <v>791</v>
      </c>
      <c r="P237" t="str">
        <f>HYPERLINK("https://www.facebook.com/2308679892755875")</f>
        <v>https://www.facebook.com/2308679892755875</v>
      </c>
      <c r="Q237">
        <v>930</v>
      </c>
      <c r="R237" t="s">
        <v>32</v>
      </c>
      <c r="S237" t="s">
        <v>33</v>
      </c>
    </row>
    <row r="238" spans="1:20" ht="16">
      <c r="A238" t="s">
        <v>120</v>
      </c>
      <c r="B238" t="s">
        <v>790</v>
      </c>
      <c r="C238" t="s">
        <v>24</v>
      </c>
      <c r="D238" t="s">
        <v>49</v>
      </c>
      <c r="E238" t="s">
        <v>45</v>
      </c>
      <c r="F238" t="s">
        <v>46</v>
      </c>
      <c r="G238" t="str">
        <f>HYPERLINK("https://www.facebook.com/26381058651490209")</f>
        <v>https://www.facebook.com/26381058651490209</v>
      </c>
      <c r="H238" t="s">
        <v>28</v>
      </c>
      <c r="I238" t="s">
        <v>66</v>
      </c>
      <c r="K238" t="str">
        <f t="shared" si="6"/>
        <v>https://www.facebook.com/61555713080974</v>
      </c>
      <c r="N238" t="s">
        <v>31</v>
      </c>
      <c r="O238" t="s">
        <v>780</v>
      </c>
      <c r="P238" t="str">
        <f>HYPERLINK("https://www.facebook.com/2129578333731579")</f>
        <v>https://www.facebook.com/2129578333731579</v>
      </c>
      <c r="Q238">
        <v>483156</v>
      </c>
      <c r="R238" t="s">
        <v>32</v>
      </c>
      <c r="S238" t="s">
        <v>33</v>
      </c>
      <c r="T238" t="s">
        <v>34</v>
      </c>
    </row>
    <row r="239" spans="1:19" ht="16">
      <c r="A239" t="s">
        <v>120</v>
      </c>
      <c r="B239" t="s">
        <v>790</v>
      </c>
      <c r="C239" t="s">
        <v>24</v>
      </c>
      <c r="D239" t="s">
        <v>49</v>
      </c>
      <c r="E239" t="s">
        <v>45</v>
      </c>
      <c r="F239" t="s">
        <v>46</v>
      </c>
      <c r="G239" t="str">
        <f>HYPERLINK("https://www.facebook.com/2191645354911825")</f>
        <v>https://www.facebook.com/2191645354911825</v>
      </c>
      <c r="H239" t="s">
        <v>28</v>
      </c>
      <c r="I239" t="s">
        <v>66</v>
      </c>
      <c r="K239" t="str">
        <f t="shared" si="6"/>
        <v>https://www.facebook.com/61555713080974</v>
      </c>
      <c r="N239" t="s">
        <v>31</v>
      </c>
      <c r="O239" t="s">
        <v>792</v>
      </c>
      <c r="P239" t="str">
        <f>HYPERLINK("https://www.facebook.com/714235622652813")</f>
        <v>https://www.facebook.com/714235622652813</v>
      </c>
      <c r="Q239">
        <v>5021</v>
      </c>
      <c r="R239" t="s">
        <v>32</v>
      </c>
      <c r="S239" t="s">
        <v>33</v>
      </c>
    </row>
    <row r="240" spans="1:20" ht="16">
      <c r="A240" t="s">
        <v>120</v>
      </c>
      <c r="B240" t="s">
        <v>793</v>
      </c>
      <c r="C240" t="s">
        <v>24</v>
      </c>
      <c r="D240" t="s">
        <v>49</v>
      </c>
      <c r="E240" t="s">
        <v>45</v>
      </c>
      <c r="F240" t="s">
        <v>46</v>
      </c>
      <c r="G240" t="str">
        <f>HYPERLINK("https://www.facebook.com/26267613742926907")</f>
        <v>https://www.facebook.com/26267613742926907</v>
      </c>
      <c r="H240" t="s">
        <v>28</v>
      </c>
      <c r="I240" t="s">
        <v>66</v>
      </c>
      <c r="K240" t="str">
        <f t="shared" si="6"/>
        <v>https://www.facebook.com/61555713080974</v>
      </c>
      <c r="N240" t="s">
        <v>31</v>
      </c>
      <c r="O240" t="s">
        <v>794</v>
      </c>
      <c r="P240" t="str">
        <f>HYPERLINK("https://www.facebook.com/952813308166966")</f>
        <v>https://www.facebook.com/952813308166966</v>
      </c>
      <c r="Q240">
        <v>30040</v>
      </c>
      <c r="R240" t="s">
        <v>32</v>
      </c>
      <c r="S240" t="s">
        <v>33</v>
      </c>
      <c r="T240" t="s">
        <v>34</v>
      </c>
    </row>
    <row r="241" spans="1:19" ht="16">
      <c r="A241" t="s">
        <v>120</v>
      </c>
      <c r="B241" t="s">
        <v>793</v>
      </c>
      <c r="C241" t="s">
        <v>24</v>
      </c>
      <c r="D241" t="s">
        <v>49</v>
      </c>
      <c r="E241" t="s">
        <v>45</v>
      </c>
      <c r="F241" t="s">
        <v>46</v>
      </c>
      <c r="G241" t="str">
        <f>HYPERLINK("https://www.facebook.com/2144793992975971")</f>
        <v>https://www.facebook.com/2144793992975971</v>
      </c>
      <c r="H241" t="s">
        <v>28</v>
      </c>
      <c r="I241" t="s">
        <v>66</v>
      </c>
      <c r="K241" t="str">
        <f t="shared" si="6"/>
        <v>https://www.facebook.com/61555713080974</v>
      </c>
      <c r="N241" t="s">
        <v>31</v>
      </c>
      <c r="O241" t="s">
        <v>795</v>
      </c>
      <c r="P241" t="str">
        <f>HYPERLINK("https://www.facebook.com/639784236810295")</f>
        <v>https://www.facebook.com/639784236810295</v>
      </c>
      <c r="Q241">
        <v>22818</v>
      </c>
      <c r="R241" t="s">
        <v>32</v>
      </c>
      <c r="S241" t="s">
        <v>33</v>
      </c>
    </row>
    <row r="242" spans="1:20" ht="16">
      <c r="A242" t="s">
        <v>120</v>
      </c>
      <c r="B242" t="s">
        <v>793</v>
      </c>
      <c r="C242" t="s">
        <v>24</v>
      </c>
      <c r="D242" t="s">
        <v>49</v>
      </c>
      <c r="E242" t="s">
        <v>45</v>
      </c>
      <c r="F242" t="s">
        <v>46</v>
      </c>
      <c r="G242" t="str">
        <f>HYPERLINK("https://www.facebook.com/26288120207487019")</f>
        <v>https://www.facebook.com/26288120207487019</v>
      </c>
      <c r="H242" t="s">
        <v>28</v>
      </c>
      <c r="I242" t="s">
        <v>66</v>
      </c>
      <c r="K242" t="str">
        <f t="shared" si="6"/>
        <v>https://www.facebook.com/61555713080974</v>
      </c>
      <c r="N242" t="s">
        <v>31</v>
      </c>
      <c r="O242" t="s">
        <v>796</v>
      </c>
      <c r="P242" t="str">
        <f>HYPERLINK("https://www.facebook.com/1100129203379467")</f>
        <v>https://www.facebook.com/1100129203379467</v>
      </c>
      <c r="Q242">
        <v>7264</v>
      </c>
      <c r="R242" t="s">
        <v>32</v>
      </c>
      <c r="S242" t="s">
        <v>33</v>
      </c>
      <c r="T242" t="s">
        <v>34</v>
      </c>
    </row>
    <row r="243" spans="1:20" ht="16">
      <c r="A243" t="s">
        <v>120</v>
      </c>
      <c r="B243" t="s">
        <v>793</v>
      </c>
      <c r="C243" t="s">
        <v>24</v>
      </c>
      <c r="D243" t="s">
        <v>49</v>
      </c>
      <c r="E243" t="s">
        <v>45</v>
      </c>
      <c r="F243" t="s">
        <v>46</v>
      </c>
      <c r="G243" t="str">
        <f>HYPERLINK("https://www.facebook.com/2807024332979988")</f>
        <v>https://www.facebook.com/2807024332979988</v>
      </c>
      <c r="H243" t="s">
        <v>28</v>
      </c>
      <c r="I243" t="s">
        <v>66</v>
      </c>
      <c r="K243" t="str">
        <f t="shared" si="6"/>
        <v>https://www.facebook.com/61555713080974</v>
      </c>
      <c r="N243" t="s">
        <v>31</v>
      </c>
      <c r="O243" t="s">
        <v>797</v>
      </c>
      <c r="P243" t="str">
        <f>HYPERLINK("https://www.facebook.com/170460626636385")</f>
        <v>https://www.facebook.com/170460626636385</v>
      </c>
      <c r="Q243">
        <v>10193</v>
      </c>
      <c r="R243" t="s">
        <v>32</v>
      </c>
      <c r="S243" t="s">
        <v>33</v>
      </c>
      <c r="T243" t="s">
        <v>34</v>
      </c>
    </row>
    <row r="244" spans="1:20" ht="16">
      <c r="A244" t="s">
        <v>120</v>
      </c>
      <c r="B244" t="s">
        <v>793</v>
      </c>
      <c r="C244" t="s">
        <v>24</v>
      </c>
      <c r="D244" t="s">
        <v>49</v>
      </c>
      <c r="E244" t="s">
        <v>45</v>
      </c>
      <c r="F244" t="s">
        <v>46</v>
      </c>
      <c r="G244" t="str">
        <f>HYPERLINK("https://www.facebook.com/26451816424411525")</f>
        <v>https://www.facebook.com/26451816424411525</v>
      </c>
      <c r="H244" t="s">
        <v>28</v>
      </c>
      <c r="I244" t="s">
        <v>66</v>
      </c>
      <c r="K244" t="str">
        <f t="shared" si="6"/>
        <v>https://www.facebook.com/61555713080974</v>
      </c>
      <c r="N244" t="s">
        <v>31</v>
      </c>
      <c r="O244" t="s">
        <v>798</v>
      </c>
      <c r="P244" t="str">
        <f>HYPERLINK("https://www.facebook.com/1599942030025642")</f>
        <v>https://www.facebook.com/1599942030025642</v>
      </c>
      <c r="Q244">
        <v>969</v>
      </c>
      <c r="R244" t="s">
        <v>32</v>
      </c>
      <c r="S244" t="s">
        <v>33</v>
      </c>
      <c r="T244" t="s">
        <v>34</v>
      </c>
    </row>
    <row r="245" spans="1:19" ht="16">
      <c r="A245" t="s">
        <v>120</v>
      </c>
      <c r="B245" t="s">
        <v>793</v>
      </c>
      <c r="C245" t="s">
        <v>24</v>
      </c>
      <c r="D245" t="s">
        <v>49</v>
      </c>
      <c r="E245" t="s">
        <v>45</v>
      </c>
      <c r="F245" t="s">
        <v>46</v>
      </c>
      <c r="G245" t="str">
        <f>HYPERLINK("https://www.facebook.com/1415384353177596")</f>
        <v>https://www.facebook.com/1415384353177596</v>
      </c>
      <c r="H245" t="s">
        <v>28</v>
      </c>
      <c r="I245" t="s">
        <v>66</v>
      </c>
      <c r="K245" t="str">
        <f t="shared" si="6"/>
        <v>https://www.facebook.com/61555713080974</v>
      </c>
      <c r="N245" t="s">
        <v>31</v>
      </c>
      <c r="O245" t="s">
        <v>799</v>
      </c>
      <c r="P245" t="str">
        <f>HYPERLINK("https://www.facebook.com/252857856096924")</f>
        <v>https://www.facebook.com/252857856096924</v>
      </c>
      <c r="Q245">
        <v>9961</v>
      </c>
      <c r="R245" t="s">
        <v>32</v>
      </c>
      <c r="S245" t="s">
        <v>33</v>
      </c>
    </row>
    <row r="246" spans="1:20" ht="16">
      <c r="A246" t="s">
        <v>120</v>
      </c>
      <c r="B246" t="s">
        <v>793</v>
      </c>
      <c r="C246" t="s">
        <v>24</v>
      </c>
      <c r="D246" t="s">
        <v>49</v>
      </c>
      <c r="E246" t="s">
        <v>45</v>
      </c>
      <c r="F246" t="s">
        <v>46</v>
      </c>
      <c r="G246" t="str">
        <f>HYPERLINK("https://www.facebook.com/27084120307844013")</f>
        <v>https://www.facebook.com/27084120307844013</v>
      </c>
      <c r="H246" t="s">
        <v>28</v>
      </c>
      <c r="I246" t="s">
        <v>66</v>
      </c>
      <c r="K246" t="str">
        <f t="shared" si="6"/>
        <v>https://www.facebook.com/61555713080974</v>
      </c>
      <c r="N246" t="s">
        <v>31</v>
      </c>
      <c r="O246" t="s">
        <v>800</v>
      </c>
      <c r="P246" t="str">
        <f>HYPERLINK("https://www.facebook.com/1631534786862582")</f>
        <v>https://www.facebook.com/1631534786862582</v>
      </c>
      <c r="Q246">
        <v>1445</v>
      </c>
      <c r="R246" t="s">
        <v>32</v>
      </c>
      <c r="S246" t="s">
        <v>33</v>
      </c>
      <c r="T246" t="s">
        <v>34</v>
      </c>
    </row>
    <row r="247" spans="1:19" ht="16">
      <c r="A247" t="s">
        <v>120</v>
      </c>
      <c r="B247" t="s">
        <v>793</v>
      </c>
      <c r="C247" t="s">
        <v>24</v>
      </c>
      <c r="D247" t="s">
        <v>49</v>
      </c>
      <c r="E247" t="s">
        <v>45</v>
      </c>
      <c r="F247" t="s">
        <v>46</v>
      </c>
      <c r="G247" t="str">
        <f>HYPERLINK("https://www.facebook.com/2754467454952493")</f>
        <v>https://www.facebook.com/2754467454952493</v>
      </c>
      <c r="H247" t="s">
        <v>28</v>
      </c>
      <c r="I247" t="s">
        <v>66</v>
      </c>
      <c r="K247" t="str">
        <f t="shared" si="6"/>
        <v>https://www.facebook.com/61555713080974</v>
      </c>
      <c r="N247" t="s">
        <v>31</v>
      </c>
      <c r="O247" t="s">
        <v>801</v>
      </c>
      <c r="P247" t="str">
        <f>HYPERLINK("https://www.facebook.com/358393304559932")</f>
        <v>https://www.facebook.com/358393304559932</v>
      </c>
      <c r="Q247">
        <v>4520</v>
      </c>
      <c r="R247" t="s">
        <v>32</v>
      </c>
      <c r="S247" t="s">
        <v>33</v>
      </c>
    </row>
    <row r="248" spans="1:19" ht="16">
      <c r="A248" t="s">
        <v>120</v>
      </c>
      <c r="B248" t="s">
        <v>793</v>
      </c>
      <c r="C248" t="s">
        <v>24</v>
      </c>
      <c r="D248" t="s">
        <v>49</v>
      </c>
      <c r="E248" t="s">
        <v>45</v>
      </c>
      <c r="F248" t="s">
        <v>46</v>
      </c>
      <c r="G248" t="str">
        <f>HYPERLINK("https://www.facebook.com/26046128895038749")</f>
        <v>https://www.facebook.com/26046128895038749</v>
      </c>
      <c r="H248" t="s">
        <v>28</v>
      </c>
      <c r="I248" t="s">
        <v>66</v>
      </c>
      <c r="K248" t="str">
        <f t="shared" si="6"/>
        <v>https://www.facebook.com/61555713080974</v>
      </c>
      <c r="N248" t="s">
        <v>31</v>
      </c>
      <c r="O248" t="s">
        <v>802</v>
      </c>
      <c r="P248" t="str">
        <f>HYPERLINK("https://www.facebook.com/2911557698922529")</f>
        <v>https://www.facebook.com/2911557698922529</v>
      </c>
      <c r="Q248">
        <v>2822</v>
      </c>
      <c r="R248" t="s">
        <v>32</v>
      </c>
      <c r="S248" t="s">
        <v>33</v>
      </c>
    </row>
    <row r="249" spans="1:20" ht="16">
      <c r="A249" t="s">
        <v>120</v>
      </c>
      <c r="B249" t="s">
        <v>793</v>
      </c>
      <c r="C249" t="s">
        <v>24</v>
      </c>
      <c r="D249" t="s">
        <v>49</v>
      </c>
      <c r="E249" t="s">
        <v>45</v>
      </c>
      <c r="F249" t="s">
        <v>46</v>
      </c>
      <c r="G249" t="str">
        <f>HYPERLINK("https://www.facebook.com/2689317538095298")</f>
        <v>https://www.facebook.com/2689317538095298</v>
      </c>
      <c r="H249" t="s">
        <v>28</v>
      </c>
      <c r="I249" t="s">
        <v>66</v>
      </c>
      <c r="K249" t="str">
        <f t="shared" si="6"/>
        <v>https://www.facebook.com/61555713080974</v>
      </c>
      <c r="N249" t="s">
        <v>31</v>
      </c>
      <c r="O249" t="s">
        <v>771</v>
      </c>
      <c r="P249" t="str">
        <f>HYPERLINK("https://www.facebook.com/316879982005744")</f>
        <v>https://www.facebook.com/316879982005744</v>
      </c>
      <c r="Q249">
        <v>8918</v>
      </c>
      <c r="R249" t="s">
        <v>32</v>
      </c>
      <c r="S249" t="s">
        <v>33</v>
      </c>
      <c r="T249" t="s">
        <v>34</v>
      </c>
    </row>
    <row r="250" spans="1:19" ht="16">
      <c r="A250" t="s">
        <v>120</v>
      </c>
      <c r="B250" t="s">
        <v>793</v>
      </c>
      <c r="C250" t="s">
        <v>24</v>
      </c>
      <c r="D250" t="s">
        <v>49</v>
      </c>
      <c r="E250" t="s">
        <v>45</v>
      </c>
      <c r="F250" t="s">
        <v>46</v>
      </c>
      <c r="G250" t="str">
        <f>HYPERLINK("https://www.facebook.com/2649184715457624")</f>
        <v>https://www.facebook.com/2649184715457624</v>
      </c>
      <c r="H250" t="s">
        <v>28</v>
      </c>
      <c r="I250" t="s">
        <v>66</v>
      </c>
      <c r="K250" t="str">
        <f t="shared" si="6"/>
        <v>https://www.facebook.com/61555713080974</v>
      </c>
      <c r="N250" t="s">
        <v>31</v>
      </c>
      <c r="O250" t="s">
        <v>803</v>
      </c>
      <c r="P250" t="str">
        <f>HYPERLINK("https://www.facebook.com/376921286017323")</f>
        <v>https://www.facebook.com/376921286017323</v>
      </c>
      <c r="Q250">
        <v>8314</v>
      </c>
      <c r="R250" t="s">
        <v>32</v>
      </c>
      <c r="S250" t="s">
        <v>33</v>
      </c>
    </row>
    <row r="251" spans="1:22" ht="16">
      <c r="A251" t="s">
        <v>120</v>
      </c>
      <c r="B251" t="s">
        <v>804</v>
      </c>
      <c r="C251" t="s">
        <v>805</v>
      </c>
      <c r="D251" t="s">
        <v>806</v>
      </c>
      <c r="E251" t="s">
        <v>74</v>
      </c>
      <c r="F251" t="s">
        <v>3</v>
      </c>
      <c r="G251" t="str">
        <f>HYPERLINK("https://www.facebook.com/permalink.php?story_fbid=pfbid02AWMysZ4ytZBqbPfPuESEaixs2ccSYuJBM6dpDuL2MHTawEC7Yk9CNtHeH9BUUNxrl&amp;id=100063787020118&amp;comment_id=1244903254457896")</f>
        <v>https://www.facebook.com/permalink.php?story_fbid=pfbid02AWMysZ4ytZBqbPfPuESEaixs2ccSYuJBM6dpDuL2MHTawEC7Yk9CNtHeH9BUUNxrl&amp;id=100063787020118&amp;comment_id=1244903254457896</v>
      </c>
      <c r="H251" t="s">
        <v>28</v>
      </c>
      <c r="I251" t="s">
        <v>770</v>
      </c>
      <c r="K251" t="str">
        <f>HYPERLINK("https://www.facebook.com/61576148404980")</f>
        <v>https://www.facebook.com/61576148404980</v>
      </c>
      <c r="M251" t="s">
        <v>40</v>
      </c>
      <c r="N251" t="s">
        <v>31</v>
      </c>
      <c r="O251" t="s">
        <v>807</v>
      </c>
      <c r="P251" t="str">
        <f>HYPERLINK("https://www.facebook.com/147172468676437")</f>
        <v>https://www.facebook.com/147172468676437</v>
      </c>
      <c r="Q251">
        <v>84926</v>
      </c>
      <c r="R251" t="s">
        <v>32</v>
      </c>
      <c r="S251" t="s">
        <v>33</v>
      </c>
      <c r="T251" t="s">
        <v>199</v>
      </c>
      <c r="U251" t="s">
        <v>772</v>
      </c>
      <c r="V251" t="s">
        <v>773</v>
      </c>
    </row>
    <row r="252" spans="1:19" ht="16">
      <c r="A252" t="s">
        <v>120</v>
      </c>
      <c r="B252" t="s">
        <v>808</v>
      </c>
      <c r="C252" t="s">
        <v>24</v>
      </c>
      <c r="D252" t="s">
        <v>165</v>
      </c>
      <c r="E252" t="s">
        <v>26</v>
      </c>
      <c r="F252" t="s">
        <v>46</v>
      </c>
      <c r="G252" t="str">
        <f>HYPERLINK("https://www.facebook.com/3443937249106450")</f>
        <v>https://www.facebook.com/3443937249106450</v>
      </c>
      <c r="H252" t="s">
        <v>28</v>
      </c>
      <c r="I252" t="s">
        <v>809</v>
      </c>
      <c r="K252" t="str">
        <f>HYPERLINK("https://www.facebook.com/61575528373188")</f>
        <v>https://www.facebook.com/61575528373188</v>
      </c>
      <c r="M252" t="s">
        <v>40</v>
      </c>
      <c r="N252" t="s">
        <v>31</v>
      </c>
      <c r="O252" t="s">
        <v>290</v>
      </c>
      <c r="P252" t="str">
        <f>HYPERLINK("https://www.facebook.com/1785342108299314")</f>
        <v>https://www.facebook.com/1785342108299314</v>
      </c>
      <c r="Q252">
        <v>13241</v>
      </c>
      <c r="R252" t="s">
        <v>32</v>
      </c>
      <c r="S252" t="s">
        <v>33</v>
      </c>
    </row>
    <row r="253" spans="1:22" ht="16">
      <c r="A253" t="s">
        <v>120</v>
      </c>
      <c r="B253" t="s">
        <v>810</v>
      </c>
      <c r="C253" t="s">
        <v>80</v>
      </c>
      <c r="D253" t="s">
        <v>811</v>
      </c>
      <c r="E253" t="s">
        <v>74</v>
      </c>
      <c r="F253" t="s">
        <v>3</v>
      </c>
      <c r="G253" t="str">
        <f>HYPERLINK("https://www.facebook.com/westukrnews/posts/pfbid05KpJzZfAmc7DG6HMNPojmy3FDtYQBjx33JCcksAdDUDGcWNSDnn66BSqDiowXeWol?comment_id=2671737599878355")</f>
        <v>https://www.facebook.com/westukrnews/posts/pfbid05KpJzZfAmc7DG6HMNPojmy3FDtYQBjx33JCcksAdDUDGcWNSDnn66BSqDiowXeWol?comment_id=2671737599878355</v>
      </c>
      <c r="H253" t="s">
        <v>28</v>
      </c>
      <c r="I253" t="s">
        <v>812</v>
      </c>
      <c r="K253" t="str">
        <f>HYPERLINK("https://www.facebook.com/100002238995533")</f>
        <v>https://www.facebook.com/100002238995533</v>
      </c>
      <c r="M253" t="s">
        <v>30</v>
      </c>
      <c r="N253" t="s">
        <v>31</v>
      </c>
      <c r="O253" t="s">
        <v>813</v>
      </c>
      <c r="P253" t="str">
        <f>HYPERLINK("https://www.facebook.com/264234810584424")</f>
        <v>https://www.facebook.com/264234810584424</v>
      </c>
      <c r="Q253">
        <v>559985</v>
      </c>
      <c r="R253" t="s">
        <v>32</v>
      </c>
      <c r="S253" t="s">
        <v>85</v>
      </c>
      <c r="T253" t="s">
        <v>34</v>
      </c>
      <c r="U253" t="s">
        <v>487</v>
      </c>
      <c r="V253" t="s">
        <v>814</v>
      </c>
    </row>
    <row r="254" spans="1:19" ht="16">
      <c r="A254" t="s">
        <v>120</v>
      </c>
      <c r="B254" t="s">
        <v>815</v>
      </c>
      <c r="C254" t="s">
        <v>24</v>
      </c>
      <c r="D254" t="s">
        <v>816</v>
      </c>
      <c r="E254" t="s">
        <v>101</v>
      </c>
      <c r="F254" t="s">
        <v>46</v>
      </c>
      <c r="G254" t="str">
        <f>HYPERLINK("https://www.facebook.com/10215255274332285")</f>
        <v>https://www.facebook.com/10215255274332285</v>
      </c>
      <c r="H254" t="s">
        <v>28</v>
      </c>
      <c r="I254" t="s">
        <v>817</v>
      </c>
      <c r="J254" t="s">
        <v>818</v>
      </c>
      <c r="K254" t="str">
        <f>HYPERLINK("https://www.facebook.com/1747075023")</f>
        <v>https://www.facebook.com/1747075023</v>
      </c>
      <c r="M254" t="s">
        <v>30</v>
      </c>
      <c r="N254" t="s">
        <v>31</v>
      </c>
      <c r="O254" t="s">
        <v>817</v>
      </c>
      <c r="P254" t="str">
        <f>HYPERLINK("https://www.facebook.com/1747075023")</f>
        <v>https://www.facebook.com/1747075023</v>
      </c>
      <c r="R254" t="s">
        <v>32</v>
      </c>
      <c r="S254" t="s">
        <v>33</v>
      </c>
    </row>
    <row r="255" spans="1:22" ht="16">
      <c r="A255" t="s">
        <v>120</v>
      </c>
      <c r="B255" t="s">
        <v>819</v>
      </c>
      <c r="C255" t="s">
        <v>24</v>
      </c>
      <c r="D255" t="s">
        <v>130</v>
      </c>
      <c r="E255" t="s">
        <v>45</v>
      </c>
      <c r="F255" t="s">
        <v>102</v>
      </c>
      <c r="G255" t="str">
        <f>HYPERLINK("https://www.facebook.com/2026224731294620")</f>
        <v>https://www.facebook.com/2026224731294620</v>
      </c>
      <c r="H255" t="s">
        <v>28</v>
      </c>
      <c r="I255" t="s">
        <v>820</v>
      </c>
      <c r="K255" t="str">
        <f>HYPERLINK("https://www.facebook.com/100017213388472")</f>
        <v>https://www.facebook.com/100017213388472</v>
      </c>
      <c r="L255">
        <v>90</v>
      </c>
      <c r="M255" t="s">
        <v>40</v>
      </c>
      <c r="N255" t="s">
        <v>31</v>
      </c>
      <c r="O255" t="s">
        <v>820</v>
      </c>
      <c r="P255" t="str">
        <f>HYPERLINK("https://www.facebook.com/100017213388472")</f>
        <v>https://www.facebook.com/100017213388472</v>
      </c>
      <c r="Q255">
        <v>90</v>
      </c>
      <c r="R255" t="s">
        <v>32</v>
      </c>
      <c r="S255" t="s">
        <v>33</v>
      </c>
      <c r="T255" t="s">
        <v>34</v>
      </c>
      <c r="U255" t="s">
        <v>821</v>
      </c>
      <c r="V255" t="s">
        <v>822</v>
      </c>
    </row>
    <row r="256" spans="1:19" ht="16">
      <c r="A256" t="s">
        <v>120</v>
      </c>
      <c r="B256" t="s">
        <v>823</v>
      </c>
      <c r="C256" t="s">
        <v>24</v>
      </c>
      <c r="D256" t="s">
        <v>824</v>
      </c>
      <c r="E256" t="s">
        <v>45</v>
      </c>
      <c r="F256" t="s">
        <v>46</v>
      </c>
      <c r="G256" t="str">
        <f>HYPERLINK("https://www.facebook.com/122238842972286341")</f>
        <v>https://www.facebook.com/122238842972286341</v>
      </c>
      <c r="H256" t="s">
        <v>28</v>
      </c>
      <c r="I256" t="s">
        <v>825</v>
      </c>
      <c r="K256" t="str">
        <f>HYPERLINK("https://www.facebook.com/61558590237382")</f>
        <v>https://www.facebook.com/61558590237382</v>
      </c>
      <c r="M256" t="s">
        <v>30</v>
      </c>
      <c r="N256" t="s">
        <v>31</v>
      </c>
      <c r="O256" t="s">
        <v>825</v>
      </c>
      <c r="P256" t="str">
        <f>HYPERLINK("https://www.facebook.com/61558590237382")</f>
        <v>https://www.facebook.com/61558590237382</v>
      </c>
      <c r="R256" t="s">
        <v>32</v>
      </c>
      <c r="S256" t="s">
        <v>33</v>
      </c>
    </row>
    <row r="257" spans="1:22" ht="16">
      <c r="A257" t="s">
        <v>120</v>
      </c>
      <c r="B257" t="s">
        <v>826</v>
      </c>
      <c r="C257" t="s">
        <v>24</v>
      </c>
      <c r="D257" t="s">
        <v>824</v>
      </c>
      <c r="E257" t="s">
        <v>45</v>
      </c>
      <c r="F257" t="s">
        <v>46</v>
      </c>
      <c r="G257" t="str">
        <f>HYPERLINK("https://www.facebook.com/4159928340917348")</f>
        <v>https://www.facebook.com/4159928340917348</v>
      </c>
      <c r="H257" t="s">
        <v>28</v>
      </c>
      <c r="I257" t="s">
        <v>827</v>
      </c>
      <c r="K257" t="str">
        <f>HYPERLINK("https://www.facebook.com/100007006698282")</f>
        <v>https://www.facebook.com/100007006698282</v>
      </c>
      <c r="M257" t="s">
        <v>40</v>
      </c>
      <c r="N257" t="s">
        <v>31</v>
      </c>
      <c r="O257" t="s">
        <v>827</v>
      </c>
      <c r="P257" t="str">
        <f>HYPERLINK("https://www.facebook.com/100007006698282")</f>
        <v>https://www.facebook.com/100007006698282</v>
      </c>
      <c r="R257" t="s">
        <v>32</v>
      </c>
      <c r="S257" t="s">
        <v>33</v>
      </c>
      <c r="T257" t="s">
        <v>34</v>
      </c>
      <c r="U257" t="s">
        <v>542</v>
      </c>
      <c r="V257" t="s">
        <v>828</v>
      </c>
    </row>
    <row r="258" spans="1:22" ht="16">
      <c r="A258" t="s">
        <v>120</v>
      </c>
      <c r="B258" t="s">
        <v>829</v>
      </c>
      <c r="C258" t="s">
        <v>80</v>
      </c>
      <c r="D258" t="s">
        <v>830</v>
      </c>
      <c r="E258" t="s">
        <v>74</v>
      </c>
      <c r="F258" t="s">
        <v>3</v>
      </c>
      <c r="G258" t="str">
        <f>HYPERLINK("https://www.facebook.com/westukrnews/posts/pfbid05KpJzZfAmc7DG6HMNPojmy3FDtYQBjx33JCcksAdDUDGcWNSDnn66BSqDiowXeWol?comment_id=2060726987837750")</f>
        <v>https://www.facebook.com/westukrnews/posts/pfbid05KpJzZfAmc7DG6HMNPojmy3FDtYQBjx33JCcksAdDUDGcWNSDnn66BSqDiowXeWol?comment_id=2060726987837750</v>
      </c>
      <c r="H258" t="s">
        <v>28</v>
      </c>
      <c r="I258" t="s">
        <v>831</v>
      </c>
      <c r="K258" t="str">
        <f>HYPERLINK("https://www.facebook.com/100034458693299")</f>
        <v>https://www.facebook.com/100034458693299</v>
      </c>
      <c r="M258" t="s">
        <v>30</v>
      </c>
      <c r="N258" t="s">
        <v>31</v>
      </c>
      <c r="O258" t="s">
        <v>813</v>
      </c>
      <c r="P258" t="str">
        <f>HYPERLINK("https://www.facebook.com/264234810584424")</f>
        <v>https://www.facebook.com/264234810584424</v>
      </c>
      <c r="Q258">
        <v>559985</v>
      </c>
      <c r="R258" t="s">
        <v>32</v>
      </c>
      <c r="S258" t="s">
        <v>33</v>
      </c>
      <c r="T258" t="s">
        <v>34</v>
      </c>
      <c r="U258" t="s">
        <v>542</v>
      </c>
      <c r="V258" t="s">
        <v>832</v>
      </c>
    </row>
    <row r="259" spans="1:22" ht="16">
      <c r="A259" t="s">
        <v>120</v>
      </c>
      <c r="B259" t="s">
        <v>833</v>
      </c>
      <c r="C259" t="s">
        <v>24</v>
      </c>
      <c r="D259" t="s">
        <v>238</v>
      </c>
      <c r="E259" t="s">
        <v>45</v>
      </c>
      <c r="F259" t="s">
        <v>3</v>
      </c>
      <c r="G259" t="str">
        <f>HYPERLINK("https://www.facebook.com/1913391822599086")</f>
        <v>https://www.facebook.com/1913391822599086</v>
      </c>
      <c r="H259" t="s">
        <v>28</v>
      </c>
      <c r="I259" t="s">
        <v>834</v>
      </c>
      <c r="K259" t="str">
        <f>HYPERLINK("https://www.facebook.com/100017848603494")</f>
        <v>https://www.facebook.com/100017848603494</v>
      </c>
      <c r="M259" t="s">
        <v>30</v>
      </c>
      <c r="N259" t="s">
        <v>31</v>
      </c>
      <c r="O259" t="s">
        <v>834</v>
      </c>
      <c r="P259" t="str">
        <f>HYPERLINK("https://www.facebook.com/100017848603494")</f>
        <v>https://www.facebook.com/100017848603494</v>
      </c>
      <c r="R259" t="s">
        <v>32</v>
      </c>
      <c r="S259" t="s">
        <v>33</v>
      </c>
      <c r="T259" t="s">
        <v>240</v>
      </c>
      <c r="U259" t="s">
        <v>366</v>
      </c>
      <c r="V259" t="s">
        <v>835</v>
      </c>
    </row>
    <row r="260" spans="1:22" ht="16">
      <c r="A260" t="s">
        <v>120</v>
      </c>
      <c r="B260" t="s">
        <v>836</v>
      </c>
      <c r="C260" t="s">
        <v>80</v>
      </c>
      <c r="D260" t="s">
        <v>837</v>
      </c>
      <c r="E260" t="s">
        <v>74</v>
      </c>
      <c r="F260" t="s">
        <v>3</v>
      </c>
      <c r="G260" t="str">
        <f>HYPERLINK("https://www.facebook.com/westukrnews/posts/pfbid05KpJzZfAmc7DG6HMNPojmy3FDtYQBjx33JCcksAdDUDGcWNSDnn66BSqDiowXeWol?comment_id=993124163475284")</f>
        <v>https://www.facebook.com/westukrnews/posts/pfbid05KpJzZfAmc7DG6HMNPojmy3FDtYQBjx33JCcksAdDUDGcWNSDnn66BSqDiowXeWol?comment_id=993124163475284</v>
      </c>
      <c r="H260" t="s">
        <v>28</v>
      </c>
      <c r="I260" t="s">
        <v>838</v>
      </c>
      <c r="J260" t="s">
        <v>839</v>
      </c>
      <c r="K260" t="str">
        <f>HYPERLINK("https://www.facebook.com/100052076271722")</f>
        <v>https://www.facebook.com/100052076271722</v>
      </c>
      <c r="M260" t="s">
        <v>30</v>
      </c>
      <c r="N260" t="s">
        <v>31</v>
      </c>
      <c r="O260" t="s">
        <v>813</v>
      </c>
      <c r="P260" t="str">
        <f>HYPERLINK("https://www.facebook.com/264234810584424")</f>
        <v>https://www.facebook.com/264234810584424</v>
      </c>
      <c r="Q260">
        <v>559985</v>
      </c>
      <c r="R260" t="s">
        <v>32</v>
      </c>
      <c r="S260" t="s">
        <v>33</v>
      </c>
      <c r="T260" t="s">
        <v>34</v>
      </c>
      <c r="U260" t="s">
        <v>487</v>
      </c>
      <c r="V260" t="s">
        <v>814</v>
      </c>
    </row>
    <row r="261" spans="1:22" ht="16">
      <c r="A261" t="s">
        <v>120</v>
      </c>
      <c r="B261" t="s">
        <v>840</v>
      </c>
      <c r="C261" t="s">
        <v>24</v>
      </c>
      <c r="D261" t="s">
        <v>44</v>
      </c>
      <c r="E261" t="s">
        <v>45</v>
      </c>
      <c r="F261" t="s">
        <v>46</v>
      </c>
      <c r="G261" t="str">
        <f>HYPERLINK("https://www.facebook.com/1474863534144302")</f>
        <v>https://www.facebook.com/1474863534144302</v>
      </c>
      <c r="H261" t="s">
        <v>28</v>
      </c>
      <c r="I261" t="s">
        <v>207</v>
      </c>
      <c r="K261" t="str">
        <f>HYPERLINK("https://www.facebook.com/100048620073063")</f>
        <v>https://www.facebook.com/100048620073063</v>
      </c>
      <c r="M261" t="s">
        <v>40</v>
      </c>
      <c r="N261" t="s">
        <v>31</v>
      </c>
      <c r="O261" t="s">
        <v>207</v>
      </c>
      <c r="P261" t="str">
        <f>HYPERLINK("https://www.facebook.com/100048620073063")</f>
        <v>https://www.facebook.com/100048620073063</v>
      </c>
      <c r="R261" t="s">
        <v>32</v>
      </c>
      <c r="S261" t="s">
        <v>33</v>
      </c>
      <c r="T261" t="s">
        <v>34</v>
      </c>
      <c r="U261" t="s">
        <v>77</v>
      </c>
      <c r="V261" t="s">
        <v>208</v>
      </c>
    </row>
    <row r="262" spans="1:22" ht="16">
      <c r="A262" t="s">
        <v>120</v>
      </c>
      <c r="B262" t="s">
        <v>841</v>
      </c>
      <c r="C262" t="s">
        <v>24</v>
      </c>
      <c r="D262" t="s">
        <v>238</v>
      </c>
      <c r="E262" t="s">
        <v>45</v>
      </c>
      <c r="F262" t="s">
        <v>3</v>
      </c>
      <c r="G262" t="str">
        <f>HYPERLINK("https://www.facebook.com/878134135217290")</f>
        <v>https://www.facebook.com/878134135217290</v>
      </c>
      <c r="H262" t="s">
        <v>28</v>
      </c>
      <c r="I262" t="s">
        <v>842</v>
      </c>
      <c r="K262" t="str">
        <f>HYPERLINK("https://www.facebook.com/100090621343375")</f>
        <v>https://www.facebook.com/100090621343375</v>
      </c>
      <c r="M262" t="s">
        <v>40</v>
      </c>
      <c r="N262" t="s">
        <v>31</v>
      </c>
      <c r="O262" t="s">
        <v>842</v>
      </c>
      <c r="P262" t="str">
        <f>HYPERLINK("https://www.facebook.com/100090621343375")</f>
        <v>https://www.facebook.com/100090621343375</v>
      </c>
      <c r="R262" t="s">
        <v>32</v>
      </c>
      <c r="S262" t="s">
        <v>33</v>
      </c>
      <c r="T262" t="s">
        <v>843</v>
      </c>
      <c r="U262" t="s">
        <v>844</v>
      </c>
      <c r="V262" t="s">
        <v>845</v>
      </c>
    </row>
    <row r="263" spans="1:19" ht="16">
      <c r="A263" t="s">
        <v>120</v>
      </c>
      <c r="B263" t="s">
        <v>846</v>
      </c>
      <c r="C263" t="s">
        <v>24</v>
      </c>
      <c r="D263" t="s">
        <v>847</v>
      </c>
      <c r="E263" t="s">
        <v>45</v>
      </c>
      <c r="F263" t="s">
        <v>46</v>
      </c>
      <c r="G263" t="str">
        <f>HYPERLINK("https://www.facebook.com/1465973148523017")</f>
        <v>https://www.facebook.com/1465973148523017</v>
      </c>
      <c r="H263" t="s">
        <v>28</v>
      </c>
      <c r="I263" t="s">
        <v>848</v>
      </c>
      <c r="K263" t="str">
        <f>HYPERLINK("https://www.facebook.com/100053310379798")</f>
        <v>https://www.facebook.com/100053310379798</v>
      </c>
      <c r="M263" t="s">
        <v>30</v>
      </c>
      <c r="N263" t="s">
        <v>31</v>
      </c>
      <c r="O263" t="s">
        <v>848</v>
      </c>
      <c r="P263" t="str">
        <f>HYPERLINK("https://www.facebook.com/100053310379798")</f>
        <v>https://www.facebook.com/100053310379798</v>
      </c>
      <c r="R263" t="s">
        <v>32</v>
      </c>
      <c r="S263" t="s">
        <v>33</v>
      </c>
    </row>
    <row r="264" spans="1:22" ht="16">
      <c r="A264" t="s">
        <v>120</v>
      </c>
      <c r="B264" t="s">
        <v>849</v>
      </c>
      <c r="C264" t="s">
        <v>80</v>
      </c>
      <c r="D264" t="s">
        <v>850</v>
      </c>
      <c r="E264" t="s">
        <v>74</v>
      </c>
      <c r="F264" t="s">
        <v>3</v>
      </c>
      <c r="G264" t="str">
        <f>HYPERLINK("https://www.facebook.com/westukrnews/posts/pfbid05KpJzZfAmc7DG6HMNPojmy3FDtYQBjx33JCcksAdDUDGcWNSDnn66BSqDiowXeWol?comment_id=1188184409827526")</f>
        <v>https://www.facebook.com/westukrnews/posts/pfbid05KpJzZfAmc7DG6HMNPojmy3FDtYQBjx33JCcksAdDUDGcWNSDnn66BSqDiowXeWol?comment_id=1188184409827526</v>
      </c>
      <c r="H264" t="s">
        <v>28</v>
      </c>
      <c r="I264" t="s">
        <v>851</v>
      </c>
      <c r="K264" t="str">
        <f>HYPERLINK("https://www.facebook.com/100086790155975")</f>
        <v>https://www.facebook.com/100086790155975</v>
      </c>
      <c r="M264" t="s">
        <v>30</v>
      </c>
      <c r="N264" t="s">
        <v>31</v>
      </c>
      <c r="O264" t="s">
        <v>813</v>
      </c>
      <c r="P264" t="str">
        <f>HYPERLINK("https://www.facebook.com/264234810584424")</f>
        <v>https://www.facebook.com/264234810584424</v>
      </c>
      <c r="Q264">
        <v>559985</v>
      </c>
      <c r="R264" t="s">
        <v>32</v>
      </c>
      <c r="S264" t="s">
        <v>33</v>
      </c>
      <c r="T264" t="s">
        <v>34</v>
      </c>
      <c r="U264" t="s">
        <v>487</v>
      </c>
      <c r="V264" t="s">
        <v>814</v>
      </c>
    </row>
    <row r="265" spans="1:22" ht="16">
      <c r="A265" t="s">
        <v>120</v>
      </c>
      <c r="B265" t="s">
        <v>852</v>
      </c>
      <c r="C265" t="s">
        <v>24</v>
      </c>
      <c r="D265" t="s">
        <v>275</v>
      </c>
      <c r="E265" t="s">
        <v>45</v>
      </c>
      <c r="F265" t="s">
        <v>3</v>
      </c>
      <c r="G265" t="str">
        <f>HYPERLINK("https://twitter.com/LisorubZalizni/status/2028004192472662236")</f>
        <v>https://twitter.com/LisorubZalizni/status/2028004192472662236</v>
      </c>
      <c r="H265" t="s">
        <v>28</v>
      </c>
      <c r="I265" t="s">
        <v>853</v>
      </c>
      <c r="J265" t="s">
        <v>854</v>
      </c>
      <c r="K265" t="str">
        <f>HYPERLINK("http://twitter.com/LisorubZalizni")</f>
        <v>http://twitter.com/LisorubZalizni</v>
      </c>
      <c r="L265">
        <v>197</v>
      </c>
      <c r="M265" t="s">
        <v>40</v>
      </c>
      <c r="N265" t="s">
        <v>278</v>
      </c>
      <c r="R265" t="s">
        <v>32</v>
      </c>
      <c r="S265" t="s">
        <v>33</v>
      </c>
      <c r="T265" t="s">
        <v>34</v>
      </c>
      <c r="U265" t="s">
        <v>487</v>
      </c>
      <c r="V265" t="s">
        <v>855</v>
      </c>
    </row>
    <row r="266" spans="1:22" ht="16">
      <c r="A266" t="s">
        <v>120</v>
      </c>
      <c r="B266" t="s">
        <v>856</v>
      </c>
      <c r="C266" t="s">
        <v>80</v>
      </c>
      <c r="D266" t="s">
        <v>857</v>
      </c>
      <c r="E266" t="s">
        <v>74</v>
      </c>
      <c r="F266" t="s">
        <v>3</v>
      </c>
      <c r="G266" t="str">
        <f>HYPERLINK("https://www.facebook.com/westukrnews/posts/pfbid05KpJzZfAmc7DG6HMNPojmy3FDtYQBjx33JCcksAdDUDGcWNSDnn66BSqDiowXeWol?comment_id=2158889334955227")</f>
        <v>https://www.facebook.com/westukrnews/posts/pfbid05KpJzZfAmc7DG6HMNPojmy3FDtYQBjx33JCcksAdDUDGcWNSDnn66BSqDiowXeWol?comment_id=2158889334955227</v>
      </c>
      <c r="H266" t="s">
        <v>28</v>
      </c>
      <c r="I266" t="s">
        <v>858</v>
      </c>
      <c r="K266" t="str">
        <f>HYPERLINK("https://www.facebook.com/100020410182336")</f>
        <v>https://www.facebook.com/100020410182336</v>
      </c>
      <c r="M266" t="s">
        <v>30</v>
      </c>
      <c r="N266" t="s">
        <v>31</v>
      </c>
      <c r="O266" t="s">
        <v>813</v>
      </c>
      <c r="P266" t="str">
        <f>HYPERLINK("https://www.facebook.com/264234810584424")</f>
        <v>https://www.facebook.com/264234810584424</v>
      </c>
      <c r="Q266">
        <v>559985</v>
      </c>
      <c r="R266" t="s">
        <v>32</v>
      </c>
      <c r="S266" t="s">
        <v>859</v>
      </c>
      <c r="T266" t="s">
        <v>34</v>
      </c>
      <c r="U266" t="s">
        <v>58</v>
      </c>
      <c r="V266" t="s">
        <v>58</v>
      </c>
    </row>
    <row r="267" spans="1:22" ht="16">
      <c r="A267" t="s">
        <v>120</v>
      </c>
      <c r="B267" t="s">
        <v>860</v>
      </c>
      <c r="C267" t="s">
        <v>24</v>
      </c>
      <c r="D267" t="s">
        <v>254</v>
      </c>
      <c r="E267" t="s">
        <v>45</v>
      </c>
      <c r="F267" t="s">
        <v>46</v>
      </c>
      <c r="G267" t="str">
        <f>HYPERLINK("https://www.facebook.com/2119133498886923")</f>
        <v>https://www.facebook.com/2119133498886923</v>
      </c>
      <c r="H267" t="s">
        <v>28</v>
      </c>
      <c r="I267" t="s">
        <v>861</v>
      </c>
      <c r="K267" t="str">
        <f>HYPERLINK("https://www.facebook.com/100023708794883")</f>
        <v>https://www.facebook.com/100023708794883</v>
      </c>
      <c r="M267" t="s">
        <v>30</v>
      </c>
      <c r="N267" t="s">
        <v>31</v>
      </c>
      <c r="O267" t="s">
        <v>861</v>
      </c>
      <c r="P267" t="str">
        <f>HYPERLINK("https://www.facebook.com/100023708794883")</f>
        <v>https://www.facebook.com/100023708794883</v>
      </c>
      <c r="R267" t="s">
        <v>32</v>
      </c>
      <c r="S267" t="s">
        <v>33</v>
      </c>
      <c r="T267" t="s">
        <v>34</v>
      </c>
      <c r="U267" t="s">
        <v>478</v>
      </c>
      <c r="V267" t="s">
        <v>862</v>
      </c>
    </row>
    <row r="268" spans="1:22" ht="16">
      <c r="A268" t="s">
        <v>120</v>
      </c>
      <c r="B268" t="s">
        <v>863</v>
      </c>
      <c r="C268" t="s">
        <v>24</v>
      </c>
      <c r="D268" t="s">
        <v>49</v>
      </c>
      <c r="E268" t="s">
        <v>45</v>
      </c>
      <c r="F268" t="s">
        <v>46</v>
      </c>
      <c r="G268" t="str">
        <f>HYPERLINK("https://www.facebook.com/2683257762041318")</f>
        <v>https://www.facebook.com/2683257762041318</v>
      </c>
      <c r="H268" t="s">
        <v>28</v>
      </c>
      <c r="I268" t="s">
        <v>864</v>
      </c>
      <c r="J268" t="s">
        <v>865</v>
      </c>
      <c r="K268" t="str">
        <f>HYPERLINK("https://www.facebook.com/100010713616111")</f>
        <v>https://www.facebook.com/100010713616111</v>
      </c>
      <c r="M268" t="s">
        <v>30</v>
      </c>
      <c r="N268" t="s">
        <v>31</v>
      </c>
      <c r="O268" t="s">
        <v>864</v>
      </c>
      <c r="P268" t="str">
        <f>HYPERLINK("https://www.facebook.com/100010713616111")</f>
        <v>https://www.facebook.com/100010713616111</v>
      </c>
      <c r="R268" t="s">
        <v>32</v>
      </c>
      <c r="S268" t="s">
        <v>33</v>
      </c>
      <c r="T268" t="s">
        <v>240</v>
      </c>
      <c r="U268" t="s">
        <v>866</v>
      </c>
      <c r="V268" t="s">
        <v>867</v>
      </c>
    </row>
    <row r="269" spans="1:22" ht="16">
      <c r="A269" t="s">
        <v>120</v>
      </c>
      <c r="B269" t="s">
        <v>868</v>
      </c>
      <c r="C269" t="s">
        <v>24</v>
      </c>
      <c r="D269" t="s">
        <v>130</v>
      </c>
      <c r="E269" t="s">
        <v>45</v>
      </c>
      <c r="F269" t="s">
        <v>102</v>
      </c>
      <c r="G269" t="str">
        <f>HYPERLINK("https://www.facebook.com/1450630293134217")</f>
        <v>https://www.facebook.com/1450630293134217</v>
      </c>
      <c r="H269" t="s">
        <v>28</v>
      </c>
      <c r="I269" t="s">
        <v>869</v>
      </c>
      <c r="K269" t="str">
        <f>HYPERLINK("https://www.facebook.com/100045617804532")</f>
        <v>https://www.facebook.com/100045617804532</v>
      </c>
      <c r="M269" t="s">
        <v>30</v>
      </c>
      <c r="N269" t="s">
        <v>31</v>
      </c>
      <c r="O269" t="s">
        <v>869</v>
      </c>
      <c r="P269" t="str">
        <f>HYPERLINK("https://www.facebook.com/100045617804532")</f>
        <v>https://www.facebook.com/100045617804532</v>
      </c>
      <c r="R269" t="s">
        <v>32</v>
      </c>
      <c r="S269" t="s">
        <v>33</v>
      </c>
      <c r="T269" t="s">
        <v>34</v>
      </c>
      <c r="U269" t="s">
        <v>167</v>
      </c>
      <c r="V269" t="s">
        <v>870</v>
      </c>
    </row>
    <row r="270" spans="1:22" ht="16">
      <c r="A270" t="s">
        <v>120</v>
      </c>
      <c r="B270" t="s">
        <v>871</v>
      </c>
      <c r="C270" t="s">
        <v>24</v>
      </c>
      <c r="D270" t="s">
        <v>275</v>
      </c>
      <c r="E270" t="s">
        <v>45</v>
      </c>
      <c r="F270" t="s">
        <v>3</v>
      </c>
      <c r="G270" t="str">
        <f>HYPERLINK("https://twitter.com/yAxmQJSEsfcvt41/status/2027998413464240294")</f>
        <v>https://twitter.com/yAxmQJSEsfcvt41/status/2027998413464240294</v>
      </c>
      <c r="H270" t="s">
        <v>28</v>
      </c>
      <c r="I270" t="s">
        <v>872</v>
      </c>
      <c r="J270" t="s">
        <v>873</v>
      </c>
      <c r="K270" t="str">
        <f>HYPERLINK("http://twitter.com/yAxmQJSEsfcvt41")</f>
        <v>http://twitter.com/yAxmQJSEsfcvt41</v>
      </c>
      <c r="L270">
        <v>546</v>
      </c>
      <c r="M270" t="s">
        <v>30</v>
      </c>
      <c r="N270" t="s">
        <v>278</v>
      </c>
      <c r="R270" t="s">
        <v>32</v>
      </c>
      <c r="S270" t="s">
        <v>33</v>
      </c>
      <c r="T270" t="s">
        <v>34</v>
      </c>
      <c r="U270" t="s">
        <v>235</v>
      </c>
      <c r="V270" t="s">
        <v>236</v>
      </c>
    </row>
    <row r="271" spans="1:21" ht="16">
      <c r="A271" t="s">
        <v>120</v>
      </c>
      <c r="B271" t="s">
        <v>874</v>
      </c>
      <c r="C271" t="s">
        <v>24</v>
      </c>
      <c r="D271" t="s">
        <v>875</v>
      </c>
      <c r="E271" t="s">
        <v>45</v>
      </c>
      <c r="F271" t="s">
        <v>102</v>
      </c>
      <c r="G271" t="str">
        <f>HYPERLINK("https://www.facebook.com/878457325192372")</f>
        <v>https://www.facebook.com/878457325192372</v>
      </c>
      <c r="H271" t="s">
        <v>28</v>
      </c>
      <c r="I271" t="s">
        <v>876</v>
      </c>
      <c r="K271" t="str">
        <f>HYPERLINK("https://www.facebook.com/100090843379637")</f>
        <v>https://www.facebook.com/100090843379637</v>
      </c>
      <c r="M271" t="s">
        <v>40</v>
      </c>
      <c r="N271" t="s">
        <v>31</v>
      </c>
      <c r="O271" t="s">
        <v>876</v>
      </c>
      <c r="P271" t="str">
        <f>HYPERLINK("https://www.facebook.com/100090843379637")</f>
        <v>https://www.facebook.com/100090843379637</v>
      </c>
      <c r="R271" t="s">
        <v>32</v>
      </c>
      <c r="S271" t="s">
        <v>33</v>
      </c>
      <c r="T271" t="s">
        <v>34</v>
      </c>
      <c r="U271" t="s">
        <v>309</v>
      </c>
    </row>
    <row r="272" spans="1:22" ht="16">
      <c r="A272" t="s">
        <v>120</v>
      </c>
      <c r="B272" t="s">
        <v>874</v>
      </c>
      <c r="C272" t="s">
        <v>24</v>
      </c>
      <c r="D272" t="s">
        <v>877</v>
      </c>
      <c r="E272" t="s">
        <v>26</v>
      </c>
      <c r="F272" t="s">
        <v>27</v>
      </c>
      <c r="G272" t="str">
        <f>HYPERLINK("https://www.facebook.com/2527771607621190")</f>
        <v>https://www.facebook.com/2527771607621190</v>
      </c>
      <c r="H272" t="s">
        <v>28</v>
      </c>
      <c r="I272" t="s">
        <v>878</v>
      </c>
      <c r="J272" t="s">
        <v>879</v>
      </c>
      <c r="K272" t="str">
        <f>HYPERLINK("https://www.facebook.com/100003271007871")</f>
        <v>https://www.facebook.com/100003271007871</v>
      </c>
      <c r="M272" t="s">
        <v>30</v>
      </c>
      <c r="N272" t="s">
        <v>31</v>
      </c>
      <c r="O272" t="s">
        <v>880</v>
      </c>
      <c r="P272" t="str">
        <f>HYPERLINK("https://www.facebook.com/450700568661648")</f>
        <v>https://www.facebook.com/450700568661648</v>
      </c>
      <c r="Q272">
        <v>78964</v>
      </c>
      <c r="R272" t="s">
        <v>32</v>
      </c>
      <c r="S272" t="s">
        <v>33</v>
      </c>
      <c r="T272" t="s">
        <v>34</v>
      </c>
      <c r="U272" t="s">
        <v>309</v>
      </c>
      <c r="V272" t="s">
        <v>606</v>
      </c>
    </row>
    <row r="273" spans="1:20" ht="16">
      <c r="A273" t="s">
        <v>120</v>
      </c>
      <c r="B273" t="s">
        <v>881</v>
      </c>
      <c r="C273" t="s">
        <v>24</v>
      </c>
      <c r="D273" t="s">
        <v>275</v>
      </c>
      <c r="E273" t="s">
        <v>45</v>
      </c>
      <c r="F273" t="s">
        <v>3</v>
      </c>
      <c r="G273" t="str">
        <f>HYPERLINK("https://twitter.com/Volodymyr228252/status/2027992145483739320")</f>
        <v>https://twitter.com/Volodymyr228252/status/2027992145483739320</v>
      </c>
      <c r="H273" t="s">
        <v>28</v>
      </c>
      <c r="I273" t="s">
        <v>882</v>
      </c>
      <c r="J273" t="s">
        <v>883</v>
      </c>
      <c r="K273" t="str">
        <f>HYPERLINK("http://twitter.com/Volodymyr228252")</f>
        <v>http://twitter.com/Volodymyr228252</v>
      </c>
      <c r="L273">
        <v>12</v>
      </c>
      <c r="M273" t="s">
        <v>40</v>
      </c>
      <c r="N273" t="s">
        <v>278</v>
      </c>
      <c r="R273" t="s">
        <v>32</v>
      </c>
      <c r="S273" t="s">
        <v>33</v>
      </c>
      <c r="T273" t="s">
        <v>34</v>
      </c>
    </row>
    <row r="274" spans="1:22" ht="16">
      <c r="A274" t="s">
        <v>120</v>
      </c>
      <c r="B274" t="s">
        <v>884</v>
      </c>
      <c r="C274" t="s">
        <v>24</v>
      </c>
      <c r="D274" t="s">
        <v>254</v>
      </c>
      <c r="E274" t="s">
        <v>45</v>
      </c>
      <c r="F274" t="s">
        <v>46</v>
      </c>
      <c r="G274" t="str">
        <f>HYPERLINK("https://www.facebook.com/34003570835957527")</f>
        <v>https://www.facebook.com/34003570835957527</v>
      </c>
      <c r="H274" t="s">
        <v>28</v>
      </c>
      <c r="I274" t="s">
        <v>885</v>
      </c>
      <c r="J274" t="s">
        <v>886</v>
      </c>
      <c r="K274" t="str">
        <f>HYPERLINK("https://www.facebook.com/100001941361231")</f>
        <v>https://www.facebook.com/100001941361231</v>
      </c>
      <c r="M274" t="s">
        <v>40</v>
      </c>
      <c r="N274" t="s">
        <v>31</v>
      </c>
      <c r="O274" t="s">
        <v>885</v>
      </c>
      <c r="P274" t="str">
        <f>HYPERLINK("https://www.facebook.com/100001941361231")</f>
        <v>https://www.facebook.com/100001941361231</v>
      </c>
      <c r="R274" t="s">
        <v>32</v>
      </c>
      <c r="S274" t="s">
        <v>33</v>
      </c>
      <c r="T274" t="s">
        <v>256</v>
      </c>
      <c r="U274" t="s">
        <v>887</v>
      </c>
      <c r="V274" t="s">
        <v>888</v>
      </c>
    </row>
    <row r="275" spans="1:20" ht="16">
      <c r="A275" t="s">
        <v>120</v>
      </c>
      <c r="B275" t="s">
        <v>889</v>
      </c>
      <c r="C275" t="s">
        <v>24</v>
      </c>
      <c r="D275" t="s">
        <v>275</v>
      </c>
      <c r="E275" t="s">
        <v>45</v>
      </c>
      <c r="F275" t="s">
        <v>3</v>
      </c>
      <c r="G275" t="str">
        <f>HYPERLINK("https://twitter.com/Peter83725050/status/2027989501042172255")</f>
        <v>https://twitter.com/Peter83725050/status/2027989501042172255</v>
      </c>
      <c r="H275" t="s">
        <v>28</v>
      </c>
      <c r="I275" t="s">
        <v>890</v>
      </c>
      <c r="J275" t="s">
        <v>891</v>
      </c>
      <c r="K275" t="str">
        <f>HYPERLINK("http://twitter.com/Peter83725050")</f>
        <v>http://twitter.com/Peter83725050</v>
      </c>
      <c r="L275">
        <v>334</v>
      </c>
      <c r="M275" t="s">
        <v>40</v>
      </c>
      <c r="N275" t="s">
        <v>278</v>
      </c>
      <c r="R275" t="s">
        <v>32</v>
      </c>
      <c r="S275" t="s">
        <v>33</v>
      </c>
      <c r="T275" t="s">
        <v>34</v>
      </c>
    </row>
    <row r="276" spans="1:22" ht="16">
      <c r="A276" t="s">
        <v>120</v>
      </c>
      <c r="B276" t="s">
        <v>892</v>
      </c>
      <c r="C276" t="s">
        <v>24</v>
      </c>
      <c r="D276" t="s">
        <v>238</v>
      </c>
      <c r="E276" t="s">
        <v>45</v>
      </c>
      <c r="F276" t="s">
        <v>3</v>
      </c>
      <c r="G276" t="str">
        <f>HYPERLINK("https://www.facebook.com/33916304794679597")</f>
        <v>https://www.facebook.com/33916304794679597</v>
      </c>
      <c r="H276" t="s">
        <v>28</v>
      </c>
      <c r="I276" t="s">
        <v>893</v>
      </c>
      <c r="J276" t="s">
        <v>894</v>
      </c>
      <c r="K276" t="str">
        <f>HYPERLINK("https://www.facebook.com/100001805328572")</f>
        <v>https://www.facebook.com/100001805328572</v>
      </c>
      <c r="M276" t="s">
        <v>40</v>
      </c>
      <c r="N276" t="s">
        <v>31</v>
      </c>
      <c r="O276" t="s">
        <v>893</v>
      </c>
      <c r="P276" t="str">
        <f>HYPERLINK("https://www.facebook.com/100001805328572")</f>
        <v>https://www.facebook.com/100001805328572</v>
      </c>
      <c r="R276" t="s">
        <v>32</v>
      </c>
      <c r="S276" t="s">
        <v>33</v>
      </c>
      <c r="T276" t="s">
        <v>34</v>
      </c>
      <c r="U276" t="s">
        <v>41</v>
      </c>
      <c r="V276" t="s">
        <v>42</v>
      </c>
    </row>
    <row r="277" spans="1:22" ht="16">
      <c r="A277" t="s">
        <v>120</v>
      </c>
      <c r="B277" t="s">
        <v>895</v>
      </c>
      <c r="C277" t="s">
        <v>24</v>
      </c>
      <c r="D277" t="s">
        <v>896</v>
      </c>
      <c r="E277" t="s">
        <v>101</v>
      </c>
      <c r="F277" t="s">
        <v>3</v>
      </c>
      <c r="G277" t="str">
        <f>HYPERLINK("https://www.facebook.com/1943977833176118")</f>
        <v>https://www.facebook.com/1943977833176118</v>
      </c>
      <c r="H277" t="s">
        <v>28</v>
      </c>
      <c r="I277" t="s">
        <v>897</v>
      </c>
      <c r="J277" t="s">
        <v>898</v>
      </c>
      <c r="K277" t="str">
        <f>HYPERLINK("https://www.facebook.com/100026917593732")</f>
        <v>https://www.facebook.com/100026917593732</v>
      </c>
      <c r="M277" t="s">
        <v>40</v>
      </c>
      <c r="N277" t="s">
        <v>31</v>
      </c>
      <c r="O277" t="s">
        <v>897</v>
      </c>
      <c r="P277" t="str">
        <f>HYPERLINK("https://www.facebook.com/100026917593732")</f>
        <v>https://www.facebook.com/100026917593732</v>
      </c>
      <c r="R277" t="s">
        <v>32</v>
      </c>
      <c r="S277" t="s">
        <v>33</v>
      </c>
      <c r="T277" t="s">
        <v>34</v>
      </c>
      <c r="U277" t="s">
        <v>899</v>
      </c>
      <c r="V277" t="s">
        <v>900</v>
      </c>
    </row>
    <row r="278" spans="1:22" ht="16">
      <c r="A278" t="s">
        <v>120</v>
      </c>
      <c r="B278" t="s">
        <v>901</v>
      </c>
      <c r="C278" t="s">
        <v>24</v>
      </c>
      <c r="D278" t="s">
        <v>254</v>
      </c>
      <c r="E278" t="s">
        <v>45</v>
      </c>
      <c r="F278" t="s">
        <v>46</v>
      </c>
      <c r="G278" t="str">
        <f>HYPERLINK("https://www.facebook.com/1979478199589702")</f>
        <v>https://www.facebook.com/1979478199589702</v>
      </c>
      <c r="H278" t="s">
        <v>28</v>
      </c>
      <c r="I278" t="s">
        <v>902</v>
      </c>
      <c r="K278" t="str">
        <f>HYPERLINK("https://www.facebook.com/100025826229093")</f>
        <v>https://www.facebook.com/100025826229093</v>
      </c>
      <c r="M278" t="s">
        <v>30</v>
      </c>
      <c r="N278" t="s">
        <v>31</v>
      </c>
      <c r="O278" t="s">
        <v>902</v>
      </c>
      <c r="P278" t="str">
        <f>HYPERLINK("https://www.facebook.com/100025826229093")</f>
        <v>https://www.facebook.com/100025826229093</v>
      </c>
      <c r="R278" t="s">
        <v>32</v>
      </c>
      <c r="S278" t="s">
        <v>33</v>
      </c>
      <c r="T278" t="s">
        <v>34</v>
      </c>
      <c r="U278" t="s">
        <v>371</v>
      </c>
      <c r="V278" t="s">
        <v>903</v>
      </c>
    </row>
    <row r="279" spans="1:20" ht="16">
      <c r="A279" t="s">
        <v>120</v>
      </c>
      <c r="B279" t="s">
        <v>901</v>
      </c>
      <c r="C279" t="s">
        <v>24</v>
      </c>
      <c r="D279" t="s">
        <v>275</v>
      </c>
      <c r="E279" t="s">
        <v>45</v>
      </c>
      <c r="F279" t="s">
        <v>3</v>
      </c>
      <c r="G279" t="str">
        <f>HYPERLINK("https://twitter.com/AleksandrShano1/status/2027971394219200629")</f>
        <v>https://twitter.com/AleksandrShano1/status/2027971394219200629</v>
      </c>
      <c r="H279" t="s">
        <v>28</v>
      </c>
      <c r="I279" t="s">
        <v>904</v>
      </c>
      <c r="J279" t="s">
        <v>905</v>
      </c>
      <c r="K279" t="str">
        <f>HYPERLINK("http://twitter.com/AleksandrShano1")</f>
        <v>http://twitter.com/AleksandrShano1</v>
      </c>
      <c r="L279">
        <v>58</v>
      </c>
      <c r="M279" t="s">
        <v>40</v>
      </c>
      <c r="N279" t="s">
        <v>278</v>
      </c>
      <c r="R279" t="s">
        <v>32</v>
      </c>
      <c r="S279" t="s">
        <v>33</v>
      </c>
      <c r="T279" t="s">
        <v>34</v>
      </c>
    </row>
    <row r="280" spans="1:20" ht="16">
      <c r="A280" t="s">
        <v>120</v>
      </c>
      <c r="B280" t="s">
        <v>906</v>
      </c>
      <c r="C280" t="s">
        <v>24</v>
      </c>
      <c r="D280" t="s">
        <v>275</v>
      </c>
      <c r="E280" t="s">
        <v>45</v>
      </c>
      <c r="F280" t="s">
        <v>3</v>
      </c>
      <c r="G280" t="str">
        <f>HYPERLINK("https://twitter.com/Oceandontmatter/status/2027970233793642895")</f>
        <v>https://twitter.com/Oceandontmatter/status/2027970233793642895</v>
      </c>
      <c r="H280" t="s">
        <v>28</v>
      </c>
      <c r="I280" t="s">
        <v>907</v>
      </c>
      <c r="J280" t="s">
        <v>907</v>
      </c>
      <c r="K280" t="str">
        <f>HYPERLINK("http://twitter.com/Oceandontmatter")</f>
        <v>http://twitter.com/Oceandontmatter</v>
      </c>
      <c r="L280">
        <v>1654</v>
      </c>
      <c r="N280" t="s">
        <v>278</v>
      </c>
      <c r="R280" t="s">
        <v>32</v>
      </c>
      <c r="S280" t="s">
        <v>33</v>
      </c>
      <c r="T280" t="s">
        <v>86</v>
      </c>
    </row>
    <row r="281" spans="1:19" ht="16">
      <c r="A281" t="s">
        <v>120</v>
      </c>
      <c r="B281" t="s">
        <v>908</v>
      </c>
      <c r="C281" t="s">
        <v>24</v>
      </c>
      <c r="D281" t="s">
        <v>238</v>
      </c>
      <c r="E281" t="s">
        <v>45</v>
      </c>
      <c r="F281" t="s">
        <v>3</v>
      </c>
      <c r="G281" t="str">
        <f>HYPERLINK("https://www.facebook.com/916349464590985")</f>
        <v>https://www.facebook.com/916349464590985</v>
      </c>
      <c r="H281" t="s">
        <v>28</v>
      </c>
      <c r="I281" t="s">
        <v>909</v>
      </c>
      <c r="K281" t="str">
        <f>HYPERLINK("https://www.facebook.com/100086478192657")</f>
        <v>https://www.facebook.com/100086478192657</v>
      </c>
      <c r="M281" t="s">
        <v>30</v>
      </c>
      <c r="N281" t="s">
        <v>31</v>
      </c>
      <c r="O281" t="s">
        <v>909</v>
      </c>
      <c r="P281" t="str">
        <f>HYPERLINK("https://www.facebook.com/100086478192657")</f>
        <v>https://www.facebook.com/100086478192657</v>
      </c>
      <c r="R281" t="s">
        <v>32</v>
      </c>
      <c r="S281" t="s">
        <v>33</v>
      </c>
    </row>
    <row r="282" spans="1:19" ht="16">
      <c r="A282" t="s">
        <v>120</v>
      </c>
      <c r="B282" t="s">
        <v>910</v>
      </c>
      <c r="C282" t="s">
        <v>72</v>
      </c>
      <c r="D282" t="s">
        <v>911</v>
      </c>
      <c r="E282" t="s">
        <v>74</v>
      </c>
      <c r="F282" t="s">
        <v>3</v>
      </c>
      <c r="G282" t="str">
        <f>HYPERLINK("https://www.facebook.com/permalink.php?story_fbid=pfbid02s1afP9Az3jwwh6huSM2p76jLkkaosrVD4fcotj2UdLzkvbjzQfnphWnXVjThLHT4l&amp;id=100011701954282&amp;comment_id=1240707451523147")</f>
        <v>https://www.facebook.com/permalink.php?story_fbid=pfbid02s1afP9Az3jwwh6huSM2p76jLkkaosrVD4fcotj2UdLzkvbjzQfnphWnXVjThLHT4l&amp;id=100011701954282&amp;comment_id=1240707451523147</v>
      </c>
      <c r="H282" t="s">
        <v>28</v>
      </c>
      <c r="I282" t="s">
        <v>912</v>
      </c>
      <c r="J282" t="s">
        <v>913</v>
      </c>
      <c r="K282" t="str">
        <f>HYPERLINK("https://www.facebook.com/pfbid035VrxhzwD9tvQkMTRGmZrXKR3DUxXG9LdQ7icZsoiaGkycyKj8HWN9KNTYxfcW4mHl")</f>
        <v>https://www.facebook.com/pfbid035VrxhzwD9tvQkMTRGmZrXKR3DUxXG9LdQ7icZsoiaGkycyKj8HWN9KNTYxfcW4mHl</v>
      </c>
      <c r="M282" t="s">
        <v>40</v>
      </c>
      <c r="N282" t="s">
        <v>31</v>
      </c>
      <c r="O282" t="s">
        <v>914</v>
      </c>
      <c r="P282" t="str">
        <f>HYPERLINK("https://www.facebook.com/100011701954282")</f>
        <v>https://www.facebook.com/100011701954282</v>
      </c>
      <c r="R282" t="s">
        <v>32</v>
      </c>
      <c r="S282" t="s">
        <v>33</v>
      </c>
    </row>
    <row r="283" spans="1:22" ht="16">
      <c r="A283" t="s">
        <v>120</v>
      </c>
      <c r="B283" t="s">
        <v>915</v>
      </c>
      <c r="C283" t="s">
        <v>24</v>
      </c>
      <c r="D283" t="s">
        <v>44</v>
      </c>
      <c r="E283" t="s">
        <v>45</v>
      </c>
      <c r="F283" t="s">
        <v>46</v>
      </c>
      <c r="G283" t="str">
        <f>HYPERLINK("https://www.facebook.com/3792160074254613")</f>
        <v>https://www.facebook.com/3792160074254613</v>
      </c>
      <c r="H283" t="s">
        <v>28</v>
      </c>
      <c r="I283" t="s">
        <v>916</v>
      </c>
      <c r="J283" t="s">
        <v>917</v>
      </c>
      <c r="K283" t="str">
        <f>HYPERLINK("https://www.facebook.com/100003819734950")</f>
        <v>https://www.facebook.com/100003819734950</v>
      </c>
      <c r="M283" t="s">
        <v>40</v>
      </c>
      <c r="N283" t="s">
        <v>31</v>
      </c>
      <c r="O283" t="s">
        <v>916</v>
      </c>
      <c r="P283" t="str">
        <f>HYPERLINK("https://www.facebook.com/100003819734950")</f>
        <v>https://www.facebook.com/100003819734950</v>
      </c>
      <c r="R283" t="s">
        <v>32</v>
      </c>
      <c r="S283" t="s">
        <v>33</v>
      </c>
      <c r="T283" t="s">
        <v>34</v>
      </c>
      <c r="U283" t="s">
        <v>58</v>
      </c>
      <c r="V283" t="s">
        <v>58</v>
      </c>
    </row>
    <row r="284" spans="1:20" ht="16">
      <c r="A284" t="s">
        <v>120</v>
      </c>
      <c r="B284" t="s">
        <v>918</v>
      </c>
      <c r="C284" t="s">
        <v>24</v>
      </c>
      <c r="D284" t="s">
        <v>254</v>
      </c>
      <c r="E284" t="s">
        <v>45</v>
      </c>
      <c r="F284" t="s">
        <v>46</v>
      </c>
      <c r="G284" t="str">
        <f>HYPERLINK("https://www.facebook.com/2646924535679256")</f>
        <v>https://www.facebook.com/2646924535679256</v>
      </c>
      <c r="H284" t="s">
        <v>28</v>
      </c>
      <c r="I284" t="s">
        <v>919</v>
      </c>
      <c r="K284" t="str">
        <f>HYPERLINK("https://www.facebook.com/100001753921057")</f>
        <v>https://www.facebook.com/100001753921057</v>
      </c>
      <c r="M284" t="s">
        <v>30</v>
      </c>
      <c r="N284" t="s">
        <v>31</v>
      </c>
      <c r="O284" t="s">
        <v>920</v>
      </c>
      <c r="P284" t="str">
        <f>HYPERLINK("https://www.facebook.com/524312981273766")</f>
        <v>https://www.facebook.com/524312981273766</v>
      </c>
      <c r="Q284">
        <v>8241</v>
      </c>
      <c r="R284" t="s">
        <v>32</v>
      </c>
      <c r="S284" t="s">
        <v>33</v>
      </c>
      <c r="T284" t="s">
        <v>34</v>
      </c>
    </row>
    <row r="285" spans="1:20" ht="16">
      <c r="A285" t="s">
        <v>120</v>
      </c>
      <c r="B285" t="s">
        <v>921</v>
      </c>
      <c r="C285" t="s">
        <v>24</v>
      </c>
      <c r="D285" t="s">
        <v>275</v>
      </c>
      <c r="E285" t="s">
        <v>45</v>
      </c>
      <c r="F285" t="s">
        <v>3</v>
      </c>
      <c r="G285" t="str">
        <f>HYPERLINK("https://twitter.com/i01435933/status/2027930973145330044")</f>
        <v>https://twitter.com/i01435933/status/2027930973145330044</v>
      </c>
      <c r="H285" t="s">
        <v>28</v>
      </c>
      <c r="I285" t="s">
        <v>922</v>
      </c>
      <c r="J285" t="s">
        <v>923</v>
      </c>
      <c r="K285" t="str">
        <f>HYPERLINK("http://twitter.com/i01435933")</f>
        <v>http://twitter.com/i01435933</v>
      </c>
      <c r="L285">
        <v>1250</v>
      </c>
      <c r="N285" t="s">
        <v>278</v>
      </c>
      <c r="R285" t="s">
        <v>32</v>
      </c>
      <c r="S285" t="s">
        <v>33</v>
      </c>
      <c r="T285" t="s">
        <v>34</v>
      </c>
    </row>
    <row r="286" spans="1:22" ht="16">
      <c r="A286" t="s">
        <v>120</v>
      </c>
      <c r="B286" t="s">
        <v>924</v>
      </c>
      <c r="C286" t="s">
        <v>24</v>
      </c>
      <c r="D286" t="s">
        <v>44</v>
      </c>
      <c r="E286" t="s">
        <v>45</v>
      </c>
      <c r="F286" t="s">
        <v>46</v>
      </c>
      <c r="G286" t="str">
        <f>HYPERLINK("https://www.facebook.com/889024447289934")</f>
        <v>https://www.facebook.com/889024447289934</v>
      </c>
      <c r="H286" t="s">
        <v>28</v>
      </c>
      <c r="I286" t="s">
        <v>925</v>
      </c>
      <c r="K286" t="str">
        <f>HYPERLINK("https://www.facebook.com/100085471614638")</f>
        <v>https://www.facebook.com/100085471614638</v>
      </c>
      <c r="M286" t="s">
        <v>30</v>
      </c>
      <c r="N286" t="s">
        <v>31</v>
      </c>
      <c r="O286" t="s">
        <v>925</v>
      </c>
      <c r="P286" t="str">
        <f>HYPERLINK("https://www.facebook.com/100085471614638")</f>
        <v>https://www.facebook.com/100085471614638</v>
      </c>
      <c r="R286" t="s">
        <v>32</v>
      </c>
      <c r="S286" t="s">
        <v>33</v>
      </c>
      <c r="T286" t="s">
        <v>240</v>
      </c>
      <c r="U286" t="s">
        <v>926</v>
      </c>
      <c r="V286" t="s">
        <v>927</v>
      </c>
    </row>
    <row r="287" spans="1:19" ht="16">
      <c r="A287" t="s">
        <v>120</v>
      </c>
      <c r="B287" t="s">
        <v>928</v>
      </c>
      <c r="C287" t="s">
        <v>24</v>
      </c>
      <c r="D287" t="s">
        <v>238</v>
      </c>
      <c r="E287" t="s">
        <v>45</v>
      </c>
      <c r="F287" t="s">
        <v>3</v>
      </c>
      <c r="G287" t="str">
        <f>HYPERLINK("https://www.facebook.com/2161035374712614")</f>
        <v>https://www.facebook.com/2161035374712614</v>
      </c>
      <c r="H287" t="s">
        <v>28</v>
      </c>
      <c r="I287" t="s">
        <v>929</v>
      </c>
      <c r="K287" t="str">
        <f>HYPERLINK("https://www.facebook.com/100024185170628")</f>
        <v>https://www.facebook.com/100024185170628</v>
      </c>
      <c r="M287" t="s">
        <v>40</v>
      </c>
      <c r="N287" t="s">
        <v>31</v>
      </c>
      <c r="O287" t="s">
        <v>929</v>
      </c>
      <c r="P287" t="str">
        <f>HYPERLINK("https://www.facebook.com/100024185170628")</f>
        <v>https://www.facebook.com/100024185170628</v>
      </c>
      <c r="R287" t="s">
        <v>32</v>
      </c>
      <c r="S287" t="s">
        <v>33</v>
      </c>
    </row>
    <row r="288" spans="1:20" ht="16">
      <c r="A288" t="s">
        <v>120</v>
      </c>
      <c r="B288" t="s">
        <v>930</v>
      </c>
      <c r="C288" t="s">
        <v>24</v>
      </c>
      <c r="D288" t="s">
        <v>275</v>
      </c>
      <c r="E288" t="s">
        <v>45</v>
      </c>
      <c r="F288" t="s">
        <v>3</v>
      </c>
      <c r="G288" t="str">
        <f>HYPERLINK("https://twitter.com/jhanter/status/2027921064471212202")</f>
        <v>https://twitter.com/jhanter/status/2027921064471212202</v>
      </c>
      <c r="H288" t="s">
        <v>28</v>
      </c>
      <c r="I288" t="s">
        <v>931</v>
      </c>
      <c r="J288" t="s">
        <v>932</v>
      </c>
      <c r="K288" t="str">
        <f>HYPERLINK("http://twitter.com/jhanter")</f>
        <v>http://twitter.com/jhanter</v>
      </c>
      <c r="L288">
        <v>147</v>
      </c>
      <c r="M288" t="s">
        <v>40</v>
      </c>
      <c r="N288" t="s">
        <v>278</v>
      </c>
      <c r="R288" t="s">
        <v>32</v>
      </c>
      <c r="S288" t="s">
        <v>33</v>
      </c>
      <c r="T288" t="s">
        <v>34</v>
      </c>
    </row>
    <row r="289" spans="1:22" ht="16">
      <c r="A289" t="s">
        <v>120</v>
      </c>
      <c r="B289" t="s">
        <v>933</v>
      </c>
      <c r="C289" t="s">
        <v>24</v>
      </c>
      <c r="D289" t="s">
        <v>44</v>
      </c>
      <c r="E289" t="s">
        <v>45</v>
      </c>
      <c r="F289" t="s">
        <v>46</v>
      </c>
      <c r="G289" t="str">
        <f>HYPERLINK("https://www.facebook.com/10230645404735896")</f>
        <v>https://www.facebook.com/10230645404735896</v>
      </c>
      <c r="H289" t="s">
        <v>28</v>
      </c>
      <c r="I289" t="s">
        <v>775</v>
      </c>
      <c r="J289" t="s">
        <v>934</v>
      </c>
      <c r="K289" t="str">
        <f>HYPERLINK("https://www.facebook.com/1146137100")</f>
        <v>https://www.facebook.com/1146137100</v>
      </c>
      <c r="M289" t="s">
        <v>40</v>
      </c>
      <c r="N289" t="s">
        <v>31</v>
      </c>
      <c r="O289" t="s">
        <v>775</v>
      </c>
      <c r="P289" t="str">
        <f>HYPERLINK("https://www.facebook.com/1146137100")</f>
        <v>https://www.facebook.com/1146137100</v>
      </c>
      <c r="R289" t="s">
        <v>32</v>
      </c>
      <c r="S289" t="s">
        <v>33</v>
      </c>
      <c r="T289" t="s">
        <v>935</v>
      </c>
      <c r="U289" t="s">
        <v>936</v>
      </c>
      <c r="V289" t="s">
        <v>937</v>
      </c>
    </row>
    <row r="290" spans="1:19" ht="16">
      <c r="A290" t="s">
        <v>120</v>
      </c>
      <c r="B290" t="s">
        <v>938</v>
      </c>
      <c r="C290" t="s">
        <v>24</v>
      </c>
      <c r="D290" t="s">
        <v>238</v>
      </c>
      <c r="E290" t="s">
        <v>45</v>
      </c>
      <c r="F290" t="s">
        <v>3</v>
      </c>
      <c r="G290" t="str">
        <f>HYPERLINK("https://www.facebook.com/3101697193351041")</f>
        <v>https://www.facebook.com/3101697193351041</v>
      </c>
      <c r="H290" t="s">
        <v>28</v>
      </c>
      <c r="I290" t="s">
        <v>939</v>
      </c>
      <c r="J290" t="s">
        <v>940</v>
      </c>
      <c r="K290" t="str">
        <f>HYPERLINK("https://www.facebook.com/100005323716291")</f>
        <v>https://www.facebook.com/100005323716291</v>
      </c>
      <c r="M290" t="s">
        <v>40</v>
      </c>
      <c r="N290" t="s">
        <v>31</v>
      </c>
      <c r="O290" t="s">
        <v>939</v>
      </c>
      <c r="P290" t="str">
        <f>HYPERLINK("https://www.facebook.com/100005323716291")</f>
        <v>https://www.facebook.com/100005323716291</v>
      </c>
      <c r="R290" t="s">
        <v>32</v>
      </c>
      <c r="S290" t="s">
        <v>33</v>
      </c>
    </row>
    <row r="291" spans="1:22" ht="16">
      <c r="A291" t="s">
        <v>120</v>
      </c>
      <c r="B291" t="s">
        <v>941</v>
      </c>
      <c r="C291" t="s">
        <v>80</v>
      </c>
      <c r="D291" t="s">
        <v>942</v>
      </c>
      <c r="E291" t="s">
        <v>74</v>
      </c>
      <c r="F291" t="s">
        <v>3</v>
      </c>
      <c r="G291" t="str">
        <f>HYPERLINK("https://www.facebook.com/urij.hort.2025/posts/pfbid02GbL3fLjUYKqMFcxWd6oLjtKkDm3BVxpw3ucodexeg6HvuZpd8jud8XmFb9xJ85ZLl?comment_id=1499400435227294")</f>
        <v>https://www.facebook.com/urij.hort.2025/posts/pfbid02GbL3fLjUYKqMFcxWd6oLjtKkDm3BVxpw3ucodexeg6HvuZpd8jud8XmFb9xJ85ZLl?comment_id=1499400435227294</v>
      </c>
      <c r="H291" t="s">
        <v>28</v>
      </c>
      <c r="I291" t="s">
        <v>943</v>
      </c>
      <c r="K291" t="str">
        <f>HYPERLINK("https://www.facebook.com/100042083322015")</f>
        <v>https://www.facebook.com/100042083322015</v>
      </c>
      <c r="M291" t="s">
        <v>40</v>
      </c>
      <c r="N291" t="s">
        <v>31</v>
      </c>
      <c r="O291" t="s">
        <v>763</v>
      </c>
      <c r="P291" t="str">
        <f>HYPERLINK("https://www.facebook.com/100075992182284")</f>
        <v>https://www.facebook.com/100075992182284</v>
      </c>
      <c r="R291" t="s">
        <v>32</v>
      </c>
      <c r="S291" t="s">
        <v>33</v>
      </c>
      <c r="T291" t="s">
        <v>34</v>
      </c>
      <c r="U291" t="s">
        <v>58</v>
      </c>
      <c r="V291" t="s">
        <v>58</v>
      </c>
    </row>
    <row r="292" spans="1:20" ht="16">
      <c r="A292" t="s">
        <v>120</v>
      </c>
      <c r="B292" t="s">
        <v>944</v>
      </c>
      <c r="C292" t="s">
        <v>24</v>
      </c>
      <c r="D292" t="s">
        <v>275</v>
      </c>
      <c r="E292" t="s">
        <v>45</v>
      </c>
      <c r="F292" t="s">
        <v>3</v>
      </c>
      <c r="G292" t="str">
        <f>HYPERLINK("https://twitter.com/extremarium/status/2027901262939771014")</f>
        <v>https://twitter.com/extremarium/status/2027901262939771014</v>
      </c>
      <c r="H292" t="s">
        <v>28</v>
      </c>
      <c r="I292" t="s">
        <v>945</v>
      </c>
      <c r="J292" t="s">
        <v>946</v>
      </c>
      <c r="K292" t="str">
        <f>HYPERLINK("http://twitter.com/extremarium")</f>
        <v>http://twitter.com/extremarium</v>
      </c>
      <c r="L292">
        <v>24</v>
      </c>
      <c r="N292" t="s">
        <v>278</v>
      </c>
      <c r="R292" t="s">
        <v>32</v>
      </c>
      <c r="S292" t="s">
        <v>33</v>
      </c>
      <c r="T292" t="s">
        <v>34</v>
      </c>
    </row>
    <row r="293" spans="1:20" ht="16">
      <c r="A293" t="s">
        <v>120</v>
      </c>
      <c r="B293" t="s">
        <v>947</v>
      </c>
      <c r="C293" t="s">
        <v>24</v>
      </c>
      <c r="D293" t="s">
        <v>275</v>
      </c>
      <c r="E293" t="s">
        <v>45</v>
      </c>
      <c r="F293" t="s">
        <v>3</v>
      </c>
      <c r="G293" t="str">
        <f>HYPERLINK("https://twitter.com/SvetlanaBranits/status/2027894137991676404")</f>
        <v>https://twitter.com/SvetlanaBranits/status/2027894137991676404</v>
      </c>
      <c r="H293" t="s">
        <v>28</v>
      </c>
      <c r="I293" t="s">
        <v>948</v>
      </c>
      <c r="J293" t="s">
        <v>949</v>
      </c>
      <c r="K293" t="str">
        <f>HYPERLINK("http://twitter.com/SvetlanaBranits")</f>
        <v>http://twitter.com/SvetlanaBranits</v>
      </c>
      <c r="L293">
        <v>1457</v>
      </c>
      <c r="M293" t="s">
        <v>30</v>
      </c>
      <c r="N293" t="s">
        <v>278</v>
      </c>
      <c r="R293" t="s">
        <v>32</v>
      </c>
      <c r="S293" t="s">
        <v>33</v>
      </c>
      <c r="T293" t="s">
        <v>62</v>
      </c>
    </row>
    <row r="294" spans="1:22" ht="16">
      <c r="A294" t="s">
        <v>120</v>
      </c>
      <c r="B294" t="s">
        <v>950</v>
      </c>
      <c r="C294" t="s">
        <v>24</v>
      </c>
      <c r="D294" t="s">
        <v>49</v>
      </c>
      <c r="E294" t="s">
        <v>45</v>
      </c>
      <c r="F294" t="s">
        <v>46</v>
      </c>
      <c r="G294" t="str">
        <f>HYPERLINK("https://www.facebook.com/26393311786940098")</f>
        <v>https://www.facebook.com/26393311786940098</v>
      </c>
      <c r="H294" t="s">
        <v>28</v>
      </c>
      <c r="I294" t="s">
        <v>951</v>
      </c>
      <c r="J294" t="s">
        <v>952</v>
      </c>
      <c r="K294" t="str">
        <f>HYPERLINK("https://www.facebook.com/100000639078009")</f>
        <v>https://www.facebook.com/100000639078009</v>
      </c>
      <c r="M294" t="s">
        <v>30</v>
      </c>
      <c r="N294" t="s">
        <v>31</v>
      </c>
      <c r="O294" t="s">
        <v>951</v>
      </c>
      <c r="P294" t="str">
        <f>HYPERLINK("https://www.facebook.com/100000639078009")</f>
        <v>https://www.facebook.com/100000639078009</v>
      </c>
      <c r="R294" t="s">
        <v>32</v>
      </c>
      <c r="S294" t="s">
        <v>33</v>
      </c>
      <c r="T294" t="s">
        <v>843</v>
      </c>
      <c r="U294" t="s">
        <v>953</v>
      </c>
      <c r="V294" t="s">
        <v>954</v>
      </c>
    </row>
    <row r="295" spans="1:20" ht="16">
      <c r="A295" t="s">
        <v>120</v>
      </c>
      <c r="B295" t="s">
        <v>950</v>
      </c>
      <c r="C295" t="s">
        <v>24</v>
      </c>
      <c r="D295" t="s">
        <v>275</v>
      </c>
      <c r="E295" t="s">
        <v>45</v>
      </c>
      <c r="F295" t="s">
        <v>3</v>
      </c>
      <c r="G295" t="str">
        <f>HYPERLINK("https://twitter.com/babaduk777/status/2027884406581411994")</f>
        <v>https://twitter.com/babaduk777/status/2027884406581411994</v>
      </c>
      <c r="H295" t="s">
        <v>28</v>
      </c>
      <c r="I295" t="s">
        <v>955</v>
      </c>
      <c r="J295" t="s">
        <v>956</v>
      </c>
      <c r="K295" t="str">
        <f>HYPERLINK("http://twitter.com/babaduk777")</f>
        <v>http://twitter.com/babaduk777</v>
      </c>
      <c r="L295">
        <v>215</v>
      </c>
      <c r="N295" t="s">
        <v>278</v>
      </c>
      <c r="R295" t="s">
        <v>32</v>
      </c>
      <c r="S295" t="s">
        <v>33</v>
      </c>
      <c r="T295" t="s">
        <v>34</v>
      </c>
    </row>
    <row r="296" spans="1:20" ht="16">
      <c r="A296" t="s">
        <v>120</v>
      </c>
      <c r="B296" t="s">
        <v>957</v>
      </c>
      <c r="C296" t="s">
        <v>24</v>
      </c>
      <c r="D296" t="s">
        <v>275</v>
      </c>
      <c r="E296" t="s">
        <v>45</v>
      </c>
      <c r="F296" t="s">
        <v>3</v>
      </c>
      <c r="G296" t="str">
        <f>HYPERLINK("https://twitter.com/rampant7096/status/2027880981164650584")</f>
        <v>https://twitter.com/rampant7096/status/2027880981164650584</v>
      </c>
      <c r="H296" t="s">
        <v>28</v>
      </c>
      <c r="I296" t="s">
        <v>958</v>
      </c>
      <c r="J296" t="s">
        <v>959</v>
      </c>
      <c r="K296" t="str">
        <f>HYPERLINK("http://twitter.com/rampant7096")</f>
        <v>http://twitter.com/rampant7096</v>
      </c>
      <c r="L296">
        <v>15</v>
      </c>
      <c r="M296" t="s">
        <v>40</v>
      </c>
      <c r="N296" t="s">
        <v>278</v>
      </c>
      <c r="R296" t="s">
        <v>32</v>
      </c>
      <c r="S296" t="s">
        <v>33</v>
      </c>
      <c r="T296" t="s">
        <v>34</v>
      </c>
    </row>
    <row r="297" spans="1:19" ht="16">
      <c r="A297" t="s">
        <v>120</v>
      </c>
      <c r="B297" t="s">
        <v>960</v>
      </c>
      <c r="C297" t="s">
        <v>24</v>
      </c>
      <c r="D297" t="s">
        <v>238</v>
      </c>
      <c r="E297" t="s">
        <v>45</v>
      </c>
      <c r="F297" t="s">
        <v>3</v>
      </c>
      <c r="G297" t="str">
        <f>HYPERLINK("https://www.facebook.com/866124019808112")</f>
        <v>https://www.facebook.com/866124019808112</v>
      </c>
      <c r="H297" t="s">
        <v>28</v>
      </c>
      <c r="I297" t="s">
        <v>961</v>
      </c>
      <c r="K297" t="str">
        <f>HYPERLINK("https://www.facebook.com/100092315645588")</f>
        <v>https://www.facebook.com/100092315645588</v>
      </c>
      <c r="M297" t="s">
        <v>40</v>
      </c>
      <c r="N297" t="s">
        <v>31</v>
      </c>
      <c r="O297" t="s">
        <v>961</v>
      </c>
      <c r="P297" t="str">
        <f>HYPERLINK("https://www.facebook.com/100092315645588")</f>
        <v>https://www.facebook.com/100092315645588</v>
      </c>
      <c r="R297" t="s">
        <v>32</v>
      </c>
      <c r="S297" t="s">
        <v>33</v>
      </c>
    </row>
    <row r="298" spans="1:20" ht="16">
      <c r="A298" t="s">
        <v>120</v>
      </c>
      <c r="B298" t="s">
        <v>962</v>
      </c>
      <c r="C298" t="s">
        <v>24</v>
      </c>
      <c r="D298" t="s">
        <v>275</v>
      </c>
      <c r="E298" t="s">
        <v>45</v>
      </c>
      <c r="F298" t="s">
        <v>3</v>
      </c>
      <c r="G298" t="str">
        <f>HYPERLINK("https://twitter.com/o_yakym/status/2027875175610376440")</f>
        <v>https://twitter.com/o_yakym/status/2027875175610376440</v>
      </c>
      <c r="H298" t="s">
        <v>28</v>
      </c>
      <c r="I298" t="s">
        <v>963</v>
      </c>
      <c r="J298" t="s">
        <v>964</v>
      </c>
      <c r="K298" t="str">
        <f>HYPERLINK("http://twitter.com/o_yakym")</f>
        <v>http://twitter.com/o_yakym</v>
      </c>
      <c r="L298">
        <v>155</v>
      </c>
      <c r="N298" t="s">
        <v>278</v>
      </c>
      <c r="R298" t="s">
        <v>32</v>
      </c>
      <c r="S298" t="s">
        <v>33</v>
      </c>
      <c r="T298" t="s">
        <v>34</v>
      </c>
    </row>
    <row r="299" spans="1:19" ht="16">
      <c r="A299" t="s">
        <v>120</v>
      </c>
      <c r="B299" t="s">
        <v>105</v>
      </c>
      <c r="C299" t="s">
        <v>24</v>
      </c>
      <c r="D299" t="s">
        <v>238</v>
      </c>
      <c r="E299" t="s">
        <v>45</v>
      </c>
      <c r="F299" t="s">
        <v>3</v>
      </c>
      <c r="G299" t="str">
        <f>HYPERLINK("https://www.facebook.com/2227694664715436")</f>
        <v>https://www.facebook.com/2227694664715436</v>
      </c>
      <c r="H299" t="s">
        <v>28</v>
      </c>
      <c r="I299" t="s">
        <v>965</v>
      </c>
      <c r="K299" t="str">
        <f>HYPERLINK("https://www.facebook.com/100024247718341")</f>
        <v>https://www.facebook.com/100024247718341</v>
      </c>
      <c r="M299" t="s">
        <v>40</v>
      </c>
      <c r="N299" t="s">
        <v>31</v>
      </c>
      <c r="O299" t="s">
        <v>965</v>
      </c>
      <c r="P299" t="str">
        <f>HYPERLINK("https://www.facebook.com/100024247718341")</f>
        <v>https://www.facebook.com/100024247718341</v>
      </c>
      <c r="R299" t="s">
        <v>32</v>
      </c>
      <c r="S299" t="s">
        <v>33</v>
      </c>
    </row>
    <row r="300" spans="1:19" ht="16">
      <c r="A300" t="s">
        <v>120</v>
      </c>
      <c r="B300" t="s">
        <v>966</v>
      </c>
      <c r="C300" t="s">
        <v>24</v>
      </c>
      <c r="D300" t="s">
        <v>238</v>
      </c>
      <c r="E300" t="s">
        <v>45</v>
      </c>
      <c r="F300" t="s">
        <v>3</v>
      </c>
      <c r="G300" t="str">
        <f>HYPERLINK("https://www.facebook.com/2211651209661448")</f>
        <v>https://www.facebook.com/2211651209661448</v>
      </c>
      <c r="H300" t="s">
        <v>28</v>
      </c>
      <c r="I300" t="s">
        <v>357</v>
      </c>
      <c r="K300" t="str">
        <f>HYPERLINK("https://www.facebook.com/100024497710338")</f>
        <v>https://www.facebook.com/100024497710338</v>
      </c>
      <c r="M300" t="s">
        <v>30</v>
      </c>
      <c r="N300" t="s">
        <v>31</v>
      </c>
      <c r="O300" t="s">
        <v>357</v>
      </c>
      <c r="P300" t="str">
        <f>HYPERLINK("https://www.facebook.com/100024497710338")</f>
        <v>https://www.facebook.com/100024497710338</v>
      </c>
      <c r="R300" t="s">
        <v>32</v>
      </c>
      <c r="S300" t="s">
        <v>33</v>
      </c>
    </row>
    <row r="301" spans="1:20" ht="16">
      <c r="A301" t="s">
        <v>120</v>
      </c>
      <c r="B301" t="s">
        <v>967</v>
      </c>
      <c r="C301" t="s">
        <v>24</v>
      </c>
      <c r="D301" t="s">
        <v>275</v>
      </c>
      <c r="E301" t="s">
        <v>45</v>
      </c>
      <c r="F301" t="s">
        <v>3</v>
      </c>
      <c r="G301" t="str">
        <f>HYPERLINK("https://twitter.com/mazafaza1/status/2027867115332522396")</f>
        <v>https://twitter.com/mazafaza1/status/2027867115332522396</v>
      </c>
      <c r="H301" t="s">
        <v>28</v>
      </c>
      <c r="I301" t="s">
        <v>968</v>
      </c>
      <c r="J301" t="s">
        <v>969</v>
      </c>
      <c r="K301" t="str">
        <f>HYPERLINK("http://twitter.com/mazafaza1")</f>
        <v>http://twitter.com/mazafaza1</v>
      </c>
      <c r="L301">
        <v>358</v>
      </c>
      <c r="N301" t="s">
        <v>278</v>
      </c>
      <c r="R301" t="s">
        <v>32</v>
      </c>
      <c r="S301" t="s">
        <v>33</v>
      </c>
      <c r="T301" t="s">
        <v>256</v>
      </c>
    </row>
    <row r="302" spans="1:20" ht="16">
      <c r="A302" t="s">
        <v>120</v>
      </c>
      <c r="B302" t="s">
        <v>970</v>
      </c>
      <c r="C302" t="s">
        <v>24</v>
      </c>
      <c r="D302" t="s">
        <v>275</v>
      </c>
      <c r="E302" t="s">
        <v>45</v>
      </c>
      <c r="F302" t="s">
        <v>3</v>
      </c>
      <c r="G302" t="str">
        <f>HYPERLINK("https://twitter.com/DonnaBassUA/status/2027866550443577672")</f>
        <v>https://twitter.com/DonnaBassUA/status/2027866550443577672</v>
      </c>
      <c r="H302" t="s">
        <v>28</v>
      </c>
      <c r="I302" t="s">
        <v>971</v>
      </c>
      <c r="J302" t="s">
        <v>972</v>
      </c>
      <c r="K302" t="str">
        <f>HYPERLINK("http://twitter.com/DonnaBassUA")</f>
        <v>http://twitter.com/DonnaBassUA</v>
      </c>
      <c r="L302">
        <v>17</v>
      </c>
      <c r="N302" t="s">
        <v>278</v>
      </c>
      <c r="R302" t="s">
        <v>32</v>
      </c>
      <c r="S302" t="s">
        <v>33</v>
      </c>
      <c r="T302" t="s">
        <v>34</v>
      </c>
    </row>
    <row r="303" spans="1:20" ht="16">
      <c r="A303" t="s">
        <v>973</v>
      </c>
      <c r="B303" t="s">
        <v>974</v>
      </c>
      <c r="C303" t="s">
        <v>24</v>
      </c>
      <c r="D303" t="s">
        <v>275</v>
      </c>
      <c r="E303" t="s">
        <v>45</v>
      </c>
      <c r="F303" t="s">
        <v>3</v>
      </c>
      <c r="G303" t="str">
        <f>HYPERLINK("https://twitter.com/DanaOleskiv/status/2027866358596165801")</f>
        <v>https://twitter.com/DanaOleskiv/status/2027866358596165801</v>
      </c>
      <c r="H303" t="s">
        <v>28</v>
      </c>
      <c r="I303" t="s">
        <v>975</v>
      </c>
      <c r="J303" t="s">
        <v>976</v>
      </c>
      <c r="K303" t="str">
        <f>HYPERLINK("http://twitter.com/DanaOleskiv")</f>
        <v>http://twitter.com/DanaOleskiv</v>
      </c>
      <c r="L303">
        <v>490</v>
      </c>
      <c r="M303" t="s">
        <v>30</v>
      </c>
      <c r="N303" t="s">
        <v>278</v>
      </c>
      <c r="R303" t="s">
        <v>32</v>
      </c>
      <c r="S303" t="s">
        <v>33</v>
      </c>
      <c r="T303" t="s">
        <v>34</v>
      </c>
    </row>
    <row r="304" spans="1:19" ht="16">
      <c r="A304" t="s">
        <v>973</v>
      </c>
      <c r="B304" t="s">
        <v>974</v>
      </c>
      <c r="C304" t="s">
        <v>24</v>
      </c>
      <c r="D304" t="s">
        <v>238</v>
      </c>
      <c r="E304" t="s">
        <v>45</v>
      </c>
      <c r="F304" t="s">
        <v>3</v>
      </c>
      <c r="G304" t="str">
        <f>HYPERLINK("https://www.facebook.com/1965870870631749")</f>
        <v>https://www.facebook.com/1965870870631749</v>
      </c>
      <c r="H304" t="s">
        <v>28</v>
      </c>
      <c r="I304" t="s">
        <v>977</v>
      </c>
      <c r="K304" t="str">
        <f>HYPERLINK("https://www.facebook.com/100016265641470")</f>
        <v>https://www.facebook.com/100016265641470</v>
      </c>
      <c r="M304" t="s">
        <v>40</v>
      </c>
      <c r="N304" t="s">
        <v>31</v>
      </c>
      <c r="O304" t="s">
        <v>977</v>
      </c>
      <c r="P304" t="str">
        <f>HYPERLINK("https://www.facebook.com/100016265641470")</f>
        <v>https://www.facebook.com/100016265641470</v>
      </c>
      <c r="R304" t="s">
        <v>32</v>
      </c>
      <c r="S304" t="s">
        <v>33</v>
      </c>
    </row>
    <row r="305" spans="1:22" ht="16">
      <c r="A305" t="s">
        <v>973</v>
      </c>
      <c r="B305" t="s">
        <v>978</v>
      </c>
      <c r="C305" t="s">
        <v>24</v>
      </c>
      <c r="D305" t="s">
        <v>275</v>
      </c>
      <c r="E305" t="s">
        <v>45</v>
      </c>
      <c r="F305" t="s">
        <v>3</v>
      </c>
      <c r="G305" t="str">
        <f>HYPERLINK("https://twitter.com/volruban/status/2027863408666616027")</f>
        <v>https://twitter.com/volruban/status/2027863408666616027</v>
      </c>
      <c r="H305" t="s">
        <v>28</v>
      </c>
      <c r="I305" t="s">
        <v>979</v>
      </c>
      <c r="J305" t="s">
        <v>980</v>
      </c>
      <c r="K305" t="str">
        <f>HYPERLINK("http://twitter.com/volruban")</f>
        <v>http://twitter.com/volruban</v>
      </c>
      <c r="L305">
        <v>383</v>
      </c>
      <c r="M305" t="s">
        <v>40</v>
      </c>
      <c r="N305" t="s">
        <v>278</v>
      </c>
      <c r="R305" t="s">
        <v>32</v>
      </c>
      <c r="S305" t="s">
        <v>33</v>
      </c>
      <c r="T305" t="s">
        <v>34</v>
      </c>
      <c r="U305" t="s">
        <v>58</v>
      </c>
      <c r="V305" t="s">
        <v>58</v>
      </c>
    </row>
    <row r="306" spans="1:22" ht="16">
      <c r="A306" t="s">
        <v>973</v>
      </c>
      <c r="B306" t="s">
        <v>981</v>
      </c>
      <c r="C306" t="s">
        <v>24</v>
      </c>
      <c r="D306" t="s">
        <v>49</v>
      </c>
      <c r="E306" t="s">
        <v>45</v>
      </c>
      <c r="F306" t="s">
        <v>46</v>
      </c>
      <c r="G306" t="str">
        <f>HYPERLINK("https://www.facebook.com/26191866987169064")</f>
        <v>https://www.facebook.com/26191866987169064</v>
      </c>
      <c r="H306" t="s">
        <v>28</v>
      </c>
      <c r="I306" t="s">
        <v>982</v>
      </c>
      <c r="K306" t="str">
        <f>HYPERLINK("https://www.facebook.com/100003173595332")</f>
        <v>https://www.facebook.com/100003173595332</v>
      </c>
      <c r="M306" t="s">
        <v>30</v>
      </c>
      <c r="N306" t="s">
        <v>31</v>
      </c>
      <c r="O306" t="s">
        <v>982</v>
      </c>
      <c r="P306" t="str">
        <f>HYPERLINK("https://www.facebook.com/100003173595332")</f>
        <v>https://www.facebook.com/100003173595332</v>
      </c>
      <c r="R306" t="s">
        <v>32</v>
      </c>
      <c r="S306" t="s">
        <v>33</v>
      </c>
      <c r="T306" t="s">
        <v>34</v>
      </c>
      <c r="U306" t="s">
        <v>58</v>
      </c>
      <c r="V306" t="s">
        <v>58</v>
      </c>
    </row>
    <row r="307" spans="1:20" ht="16">
      <c r="A307" t="s">
        <v>973</v>
      </c>
      <c r="B307" t="s">
        <v>983</v>
      </c>
      <c r="C307" t="s">
        <v>24</v>
      </c>
      <c r="D307" t="s">
        <v>275</v>
      </c>
      <c r="E307" t="s">
        <v>45</v>
      </c>
      <c r="F307" t="s">
        <v>3</v>
      </c>
      <c r="G307" t="str">
        <f>HYPERLINK("https://twitter.com/VlRi78763174/status/2027858450416537739")</f>
        <v>https://twitter.com/VlRi78763174/status/2027858450416537739</v>
      </c>
      <c r="H307" t="s">
        <v>28</v>
      </c>
      <c r="I307" t="s">
        <v>984</v>
      </c>
      <c r="J307" t="s">
        <v>985</v>
      </c>
      <c r="K307" t="str">
        <f>HYPERLINK("http://twitter.com/VlRi78763174")</f>
        <v>http://twitter.com/VlRi78763174</v>
      </c>
      <c r="L307">
        <v>50</v>
      </c>
      <c r="N307" t="s">
        <v>278</v>
      </c>
      <c r="R307" t="s">
        <v>32</v>
      </c>
      <c r="S307" t="s">
        <v>33</v>
      </c>
      <c r="T307" t="s">
        <v>34</v>
      </c>
    </row>
    <row r="308" spans="1:22" ht="16">
      <c r="A308" t="s">
        <v>973</v>
      </c>
      <c r="B308" t="s">
        <v>986</v>
      </c>
      <c r="C308" t="s">
        <v>24</v>
      </c>
      <c r="D308" t="s">
        <v>275</v>
      </c>
      <c r="E308" t="s">
        <v>45</v>
      </c>
      <c r="F308" t="s">
        <v>3</v>
      </c>
      <c r="G308" t="str">
        <f>HYPERLINK("https://twitter.com/ValerTelen48747/status/2027856504502546456")</f>
        <v>https://twitter.com/ValerTelen48747/status/2027856504502546456</v>
      </c>
      <c r="H308" t="s">
        <v>28</v>
      </c>
      <c r="I308" t="s">
        <v>987</v>
      </c>
      <c r="J308" t="s">
        <v>988</v>
      </c>
      <c r="K308" t="str">
        <f>HYPERLINK("http://twitter.com/ValerTelen48747")</f>
        <v>http://twitter.com/ValerTelen48747</v>
      </c>
      <c r="L308">
        <v>57</v>
      </c>
      <c r="N308" t="s">
        <v>278</v>
      </c>
      <c r="R308" t="s">
        <v>32</v>
      </c>
      <c r="S308" t="s">
        <v>33</v>
      </c>
      <c r="T308" t="s">
        <v>34</v>
      </c>
      <c r="U308" t="s">
        <v>58</v>
      </c>
      <c r="V308" t="s">
        <v>58</v>
      </c>
    </row>
    <row r="309" spans="1:22" ht="16">
      <c r="A309" t="s">
        <v>973</v>
      </c>
      <c r="B309" t="s">
        <v>989</v>
      </c>
      <c r="C309" t="s">
        <v>24</v>
      </c>
      <c r="D309" t="s">
        <v>275</v>
      </c>
      <c r="E309" t="s">
        <v>45</v>
      </c>
      <c r="F309" t="s">
        <v>3</v>
      </c>
      <c r="G309" t="str">
        <f>HYPERLINK("https://twitter.com/Ihor93694503/status/2027856169105031400")</f>
        <v>https://twitter.com/Ihor93694503/status/2027856169105031400</v>
      </c>
      <c r="H309" t="s">
        <v>28</v>
      </c>
      <c r="I309" t="s">
        <v>990</v>
      </c>
      <c r="J309" t="s">
        <v>991</v>
      </c>
      <c r="K309" t="str">
        <f>HYPERLINK("http://twitter.com/Ihor93694503")</f>
        <v>http://twitter.com/Ihor93694503</v>
      </c>
      <c r="L309">
        <v>70</v>
      </c>
      <c r="M309" t="s">
        <v>40</v>
      </c>
      <c r="N309" t="s">
        <v>278</v>
      </c>
      <c r="R309" t="s">
        <v>32</v>
      </c>
      <c r="S309" t="s">
        <v>33</v>
      </c>
      <c r="T309" t="s">
        <v>256</v>
      </c>
      <c r="U309" t="s">
        <v>992</v>
      </c>
      <c r="V309" t="s">
        <v>992</v>
      </c>
    </row>
    <row r="310" spans="1:20" ht="16">
      <c r="A310" t="s">
        <v>973</v>
      </c>
      <c r="B310" t="s">
        <v>993</v>
      </c>
      <c r="C310" t="s">
        <v>24</v>
      </c>
      <c r="D310" t="s">
        <v>275</v>
      </c>
      <c r="E310" t="s">
        <v>45</v>
      </c>
      <c r="F310" t="s">
        <v>3</v>
      </c>
      <c r="G310" t="str">
        <f>HYPERLINK("https://twitter.com/AnastasiaSvec16/status/2027854620106637770")</f>
        <v>https://twitter.com/AnastasiaSvec16/status/2027854620106637770</v>
      </c>
      <c r="H310" t="s">
        <v>28</v>
      </c>
      <c r="I310" t="s">
        <v>994</v>
      </c>
      <c r="J310" t="s">
        <v>995</v>
      </c>
      <c r="K310" t="str">
        <f>HYPERLINK("http://twitter.com/AnastasiaSvec16")</f>
        <v>http://twitter.com/AnastasiaSvec16</v>
      </c>
      <c r="L310">
        <v>42</v>
      </c>
      <c r="M310" t="s">
        <v>30</v>
      </c>
      <c r="N310" t="s">
        <v>278</v>
      </c>
      <c r="R310" t="s">
        <v>32</v>
      </c>
      <c r="S310" t="s">
        <v>33</v>
      </c>
      <c r="T310" t="s">
        <v>34</v>
      </c>
    </row>
    <row r="311" spans="1:20" ht="16">
      <c r="A311" t="s">
        <v>973</v>
      </c>
      <c r="B311" t="s">
        <v>996</v>
      </c>
      <c r="C311" t="s">
        <v>24</v>
      </c>
      <c r="D311" t="s">
        <v>275</v>
      </c>
      <c r="E311" t="s">
        <v>45</v>
      </c>
      <c r="F311" t="s">
        <v>3</v>
      </c>
      <c r="G311" t="str">
        <f>HYPERLINK("https://twitter.com/Tetiana_lesulis/status/2027848330898776480")</f>
        <v>https://twitter.com/Tetiana_lesulis/status/2027848330898776480</v>
      </c>
      <c r="H311" t="s">
        <v>28</v>
      </c>
      <c r="I311" t="s">
        <v>997</v>
      </c>
      <c r="J311" t="s">
        <v>998</v>
      </c>
      <c r="K311" t="str">
        <f>HYPERLINK("http://twitter.com/Tetiana_lesulis")</f>
        <v>http://twitter.com/Tetiana_lesulis</v>
      </c>
      <c r="L311">
        <v>1450</v>
      </c>
      <c r="N311" t="s">
        <v>278</v>
      </c>
      <c r="R311" t="s">
        <v>32</v>
      </c>
      <c r="S311" t="s">
        <v>33</v>
      </c>
      <c r="T311" t="s">
        <v>34</v>
      </c>
    </row>
    <row r="312" spans="1:19" ht="16">
      <c r="A312" t="s">
        <v>973</v>
      </c>
      <c r="B312" t="s">
        <v>999</v>
      </c>
      <c r="C312" t="s">
        <v>24</v>
      </c>
      <c r="D312" t="s">
        <v>275</v>
      </c>
      <c r="E312" t="s">
        <v>45</v>
      </c>
      <c r="F312" t="s">
        <v>3</v>
      </c>
      <c r="G312" t="str">
        <f>HYPERLINK("https://twitter.com/Li_berl/status/2027848213982810206")</f>
        <v>https://twitter.com/Li_berl/status/2027848213982810206</v>
      </c>
      <c r="H312" t="s">
        <v>28</v>
      </c>
      <c r="I312" t="s">
        <v>1000</v>
      </c>
      <c r="J312" t="s">
        <v>1001</v>
      </c>
      <c r="K312" t="str">
        <f>HYPERLINK("http://twitter.com/Li_berl")</f>
        <v>http://twitter.com/Li_berl</v>
      </c>
      <c r="L312">
        <v>4001</v>
      </c>
      <c r="M312" t="s">
        <v>30</v>
      </c>
      <c r="N312" t="s">
        <v>278</v>
      </c>
      <c r="R312" t="s">
        <v>32</v>
      </c>
      <c r="S312" t="s">
        <v>33</v>
      </c>
    </row>
    <row r="313" spans="1:20" ht="16">
      <c r="A313" t="s">
        <v>973</v>
      </c>
      <c r="B313" t="s">
        <v>1002</v>
      </c>
      <c r="C313" t="s">
        <v>24</v>
      </c>
      <c r="D313" t="s">
        <v>275</v>
      </c>
      <c r="E313" t="s">
        <v>45</v>
      </c>
      <c r="F313" t="s">
        <v>3</v>
      </c>
      <c r="G313" t="str">
        <f>HYPERLINK("https://twitter.com/7qqUpa/status/2027847453454606584")</f>
        <v>https://twitter.com/7qqUpa/status/2027847453454606584</v>
      </c>
      <c r="H313" t="s">
        <v>28</v>
      </c>
      <c r="I313" t="s">
        <v>1003</v>
      </c>
      <c r="J313" t="s">
        <v>1004</v>
      </c>
      <c r="K313" t="str">
        <f>HYPERLINK("http://twitter.com/7qqUpa")</f>
        <v>http://twitter.com/7qqUpa</v>
      </c>
      <c r="L313">
        <v>633</v>
      </c>
      <c r="N313" t="s">
        <v>278</v>
      </c>
      <c r="R313" t="s">
        <v>32</v>
      </c>
      <c r="S313" t="s">
        <v>33</v>
      </c>
      <c r="T313" t="s">
        <v>34</v>
      </c>
    </row>
    <row r="314" spans="1:20" ht="16">
      <c r="A314" t="s">
        <v>973</v>
      </c>
      <c r="B314" t="s">
        <v>1005</v>
      </c>
      <c r="C314" t="s">
        <v>24</v>
      </c>
      <c r="D314" t="s">
        <v>275</v>
      </c>
      <c r="E314" t="s">
        <v>45</v>
      </c>
      <c r="F314" t="s">
        <v>3</v>
      </c>
      <c r="G314" t="str">
        <f>HYPERLINK("https://twitter.com/Andrei73538097/status/2027845315160633603")</f>
        <v>https://twitter.com/Andrei73538097/status/2027845315160633603</v>
      </c>
      <c r="H314" t="s">
        <v>28</v>
      </c>
      <c r="I314" t="s">
        <v>1006</v>
      </c>
      <c r="J314" t="s">
        <v>1007</v>
      </c>
      <c r="K314" t="str">
        <f>HYPERLINK("http://twitter.com/Andrei73538097")</f>
        <v>http://twitter.com/Andrei73538097</v>
      </c>
      <c r="L314">
        <v>1078</v>
      </c>
      <c r="M314" t="s">
        <v>40</v>
      </c>
      <c r="N314" t="s">
        <v>278</v>
      </c>
      <c r="R314" t="s">
        <v>32</v>
      </c>
      <c r="S314" t="s">
        <v>33</v>
      </c>
      <c r="T314" t="s">
        <v>34</v>
      </c>
    </row>
    <row r="315" spans="1:19" ht="16">
      <c r="A315" t="s">
        <v>973</v>
      </c>
      <c r="B315" t="s">
        <v>1008</v>
      </c>
      <c r="C315" t="s">
        <v>24</v>
      </c>
      <c r="D315" t="s">
        <v>254</v>
      </c>
      <c r="E315" t="s">
        <v>45</v>
      </c>
      <c r="F315" t="s">
        <v>46</v>
      </c>
      <c r="G315" t="str">
        <f>HYPERLINK("https://www.facebook.com/3065273743860580")</f>
        <v>https://www.facebook.com/3065273743860580</v>
      </c>
      <c r="H315" t="s">
        <v>28</v>
      </c>
      <c r="I315" t="s">
        <v>1009</v>
      </c>
      <c r="K315" t="str">
        <f>HYPERLINK("https://www.facebook.com/100011339545940")</f>
        <v>https://www.facebook.com/100011339545940</v>
      </c>
      <c r="M315" t="s">
        <v>30</v>
      </c>
      <c r="N315" t="s">
        <v>31</v>
      </c>
      <c r="O315" t="s">
        <v>1009</v>
      </c>
      <c r="P315" t="str">
        <f>HYPERLINK("https://www.facebook.com/100011339545940")</f>
        <v>https://www.facebook.com/100011339545940</v>
      </c>
      <c r="R315" t="s">
        <v>32</v>
      </c>
      <c r="S315" t="s">
        <v>33</v>
      </c>
    </row>
    <row r="316" spans="1:22" ht="16">
      <c r="A316" t="s">
        <v>973</v>
      </c>
      <c r="B316" t="s">
        <v>1010</v>
      </c>
      <c r="C316" t="s">
        <v>72</v>
      </c>
      <c r="D316" t="s">
        <v>1011</v>
      </c>
      <c r="E316" t="s">
        <v>74</v>
      </c>
      <c r="F316" t="s">
        <v>3</v>
      </c>
      <c r="G316" t="str">
        <f>HYPERLINK("https://www.facebook.com/permalink.php?story_fbid=pfbid0oe6Um7pN276QoEDBwEx2FQ9wPdrmtpQaiGt2p6g9ZdVtZnKSNTt7QSoobVSCty7ol&amp;id=100011701954282&amp;comment_id=1871989820121187")</f>
        <v>https://www.facebook.com/permalink.php?story_fbid=pfbid0oe6Um7pN276QoEDBwEx2FQ9wPdrmtpQaiGt2p6g9ZdVtZnKSNTt7QSoobVSCty7ol&amp;id=100011701954282&amp;comment_id=1871989820121187</v>
      </c>
      <c r="H316" t="s">
        <v>28</v>
      </c>
      <c r="I316" t="s">
        <v>1012</v>
      </c>
      <c r="J316" t="s">
        <v>1013</v>
      </c>
      <c r="K316" t="str">
        <f>HYPERLINK("https://www.facebook.com/100023599464333")</f>
        <v>https://www.facebook.com/100023599464333</v>
      </c>
      <c r="M316" t="s">
        <v>30</v>
      </c>
      <c r="N316" t="s">
        <v>31</v>
      </c>
      <c r="O316" t="s">
        <v>914</v>
      </c>
      <c r="P316" t="str">
        <f>HYPERLINK("https://www.facebook.com/100011701954282")</f>
        <v>https://www.facebook.com/100011701954282</v>
      </c>
      <c r="R316" t="s">
        <v>32</v>
      </c>
      <c r="S316" t="s">
        <v>33</v>
      </c>
      <c r="T316" t="s">
        <v>34</v>
      </c>
      <c r="U316" t="s">
        <v>371</v>
      </c>
      <c r="V316" t="s">
        <v>1014</v>
      </c>
    </row>
    <row r="317" spans="1:22" ht="16">
      <c r="A317" t="s">
        <v>973</v>
      </c>
      <c r="B317" t="s">
        <v>1015</v>
      </c>
      <c r="C317" t="s">
        <v>80</v>
      </c>
      <c r="D317" t="s">
        <v>1016</v>
      </c>
      <c r="E317" t="s">
        <v>74</v>
      </c>
      <c r="F317" t="s">
        <v>3</v>
      </c>
      <c r="G317" t="str">
        <f>HYPERLINK("https://www.facebook.com/westukrnews/posts/pfbid05KpJzZfAmc7DG6HMNPojmy3FDtYQBjx33JCcksAdDUDGcWNSDnn66BSqDiowXeWol?comment_id=1451817883056572&amp;reply_comment_id=810397718011108")</f>
        <v>https://www.facebook.com/westukrnews/posts/pfbid05KpJzZfAmc7DG6HMNPojmy3FDtYQBjx33JCcksAdDUDGcWNSDnn66BSqDiowXeWol?comment_id=1451817883056572&amp;reply_comment_id=810397718011108</v>
      </c>
      <c r="H317" t="s">
        <v>28</v>
      </c>
      <c r="I317" t="s">
        <v>1017</v>
      </c>
      <c r="K317" t="str">
        <f>HYPERLINK("https://www.facebook.com/100052939488935")</f>
        <v>https://www.facebook.com/100052939488935</v>
      </c>
      <c r="M317" t="s">
        <v>40</v>
      </c>
      <c r="N317" t="s">
        <v>31</v>
      </c>
      <c r="O317" t="s">
        <v>813</v>
      </c>
      <c r="P317" t="str">
        <f>HYPERLINK("https://www.facebook.com/264234810584424")</f>
        <v>https://www.facebook.com/264234810584424</v>
      </c>
      <c r="Q317">
        <v>559985</v>
      </c>
      <c r="R317" t="s">
        <v>32</v>
      </c>
      <c r="S317" t="s">
        <v>85</v>
      </c>
      <c r="T317" t="s">
        <v>34</v>
      </c>
      <c r="U317" t="s">
        <v>487</v>
      </c>
      <c r="V317" t="s">
        <v>814</v>
      </c>
    </row>
    <row r="318" spans="1:22" ht="16">
      <c r="A318" t="s">
        <v>973</v>
      </c>
      <c r="B318" t="s">
        <v>1015</v>
      </c>
      <c r="C318" t="s">
        <v>24</v>
      </c>
      <c r="D318" t="s">
        <v>238</v>
      </c>
      <c r="E318" t="s">
        <v>45</v>
      </c>
      <c r="F318" t="s">
        <v>3</v>
      </c>
      <c r="G318" t="str">
        <f>HYPERLINK("https://www.facebook.com/25887824667511460")</f>
        <v>https://www.facebook.com/25887824667511460</v>
      </c>
      <c r="H318" t="s">
        <v>28</v>
      </c>
      <c r="I318" t="s">
        <v>437</v>
      </c>
      <c r="J318" t="s">
        <v>438</v>
      </c>
      <c r="K318" t="str">
        <f>HYPERLINK("https://www.facebook.com/100001318412113")</f>
        <v>https://www.facebook.com/100001318412113</v>
      </c>
      <c r="M318" t="s">
        <v>40</v>
      </c>
      <c r="N318" t="s">
        <v>31</v>
      </c>
      <c r="O318" t="s">
        <v>437</v>
      </c>
      <c r="P318" t="str">
        <f>HYPERLINK("https://www.facebook.com/100001318412113")</f>
        <v>https://www.facebook.com/100001318412113</v>
      </c>
      <c r="R318" t="s">
        <v>32</v>
      </c>
      <c r="S318" t="s">
        <v>33</v>
      </c>
      <c r="T318" t="s">
        <v>34</v>
      </c>
      <c r="U318" t="s">
        <v>439</v>
      </c>
      <c r="V318" t="s">
        <v>440</v>
      </c>
    </row>
    <row r="319" spans="1:22" ht="16">
      <c r="A319" t="s">
        <v>973</v>
      </c>
      <c r="B319" t="s">
        <v>1018</v>
      </c>
      <c r="C319" t="s">
        <v>1019</v>
      </c>
      <c r="D319" t="s">
        <v>1020</v>
      </c>
      <c r="E319" t="s">
        <v>74</v>
      </c>
      <c r="F319" t="s">
        <v>3</v>
      </c>
      <c r="G319" t="str">
        <f>HYPERLINK("https://www.facebook.com/roman.rover1/posts/pfbid0PdSwEhSKT7khmCQDw8e21zQEZut5eUk1BZNjsd3hCTYtDZ4xoMu4afADr59CfKTFl?comment_id=1238677528456081&amp;reply_comment_id=1215813874039342")</f>
        <v>https://www.facebook.com/roman.rover1/posts/pfbid0PdSwEhSKT7khmCQDw8e21zQEZut5eUk1BZNjsd3hCTYtDZ4xoMu4afADr59CfKTFl?comment_id=1238677528456081&amp;reply_comment_id=1215813874039342</v>
      </c>
      <c r="H319" t="s">
        <v>28</v>
      </c>
      <c r="I319" t="s">
        <v>1021</v>
      </c>
      <c r="J319" t="s">
        <v>1022</v>
      </c>
      <c r="K319" t="str">
        <f>HYPERLINK("https://www.facebook.com/100008496101317")</f>
        <v>https://www.facebook.com/100008496101317</v>
      </c>
      <c r="M319" t="s">
        <v>40</v>
      </c>
      <c r="N319" t="s">
        <v>31</v>
      </c>
      <c r="O319" t="s">
        <v>1023</v>
      </c>
      <c r="P319" t="str">
        <f>HYPERLINK("https://www.facebook.com/100009428133435")</f>
        <v>https://www.facebook.com/100009428133435</v>
      </c>
      <c r="R319" t="s">
        <v>32</v>
      </c>
      <c r="S319" t="s">
        <v>33</v>
      </c>
      <c r="T319" t="s">
        <v>34</v>
      </c>
      <c r="U319" t="s">
        <v>58</v>
      </c>
      <c r="V319" t="s">
        <v>58</v>
      </c>
    </row>
    <row r="320" spans="1:22" ht="16">
      <c r="A320" t="s">
        <v>973</v>
      </c>
      <c r="B320" t="s">
        <v>1018</v>
      </c>
      <c r="C320" t="s">
        <v>24</v>
      </c>
      <c r="D320" t="s">
        <v>275</v>
      </c>
      <c r="E320" t="s">
        <v>45</v>
      </c>
      <c r="F320" t="s">
        <v>3</v>
      </c>
      <c r="G320" t="str">
        <f>HYPERLINK("https://twitter.com/Sv3XTcFRUAHTYi9/status/2027841326008369267")</f>
        <v>https://twitter.com/Sv3XTcFRUAHTYi9/status/2027841326008369267</v>
      </c>
      <c r="H320" t="s">
        <v>28</v>
      </c>
      <c r="I320" t="s">
        <v>1024</v>
      </c>
      <c r="J320" t="s">
        <v>1025</v>
      </c>
      <c r="K320" t="str">
        <f>HYPERLINK("http://twitter.com/Sv3XTcFRUAHTYi9")</f>
        <v>http://twitter.com/Sv3XTcFRUAHTYi9</v>
      </c>
      <c r="L320">
        <v>379</v>
      </c>
      <c r="M320" t="s">
        <v>40</v>
      </c>
      <c r="N320" t="s">
        <v>278</v>
      </c>
      <c r="R320" t="s">
        <v>32</v>
      </c>
      <c r="S320" t="s">
        <v>33</v>
      </c>
      <c r="T320" t="s">
        <v>34</v>
      </c>
      <c r="U320" t="s">
        <v>235</v>
      </c>
      <c r="V320" t="s">
        <v>236</v>
      </c>
    </row>
    <row r="321" spans="1:20" ht="16">
      <c r="A321" t="s">
        <v>973</v>
      </c>
      <c r="B321" t="s">
        <v>1026</v>
      </c>
      <c r="C321" t="s">
        <v>24</v>
      </c>
      <c r="D321" t="s">
        <v>275</v>
      </c>
      <c r="E321" t="s">
        <v>45</v>
      </c>
      <c r="F321" t="s">
        <v>3</v>
      </c>
      <c r="G321" t="str">
        <f>HYPERLINK("https://twitter.com/turan4ox72/status/2027840112831193335")</f>
        <v>https://twitter.com/turan4ox72/status/2027840112831193335</v>
      </c>
      <c r="H321" t="s">
        <v>28</v>
      </c>
      <c r="I321" t="s">
        <v>1027</v>
      </c>
      <c r="J321" t="s">
        <v>1028</v>
      </c>
      <c r="K321" t="str">
        <f>HYPERLINK("http://twitter.com/turan4ox72")</f>
        <v>http://twitter.com/turan4ox72</v>
      </c>
      <c r="L321">
        <v>246</v>
      </c>
      <c r="N321" t="s">
        <v>278</v>
      </c>
      <c r="R321" t="s">
        <v>32</v>
      </c>
      <c r="S321" t="s">
        <v>33</v>
      </c>
      <c r="T321" t="s">
        <v>34</v>
      </c>
    </row>
    <row r="322" spans="1:22" ht="16">
      <c r="A322" t="s">
        <v>973</v>
      </c>
      <c r="B322" t="s">
        <v>147</v>
      </c>
      <c r="C322" t="s">
        <v>1019</v>
      </c>
      <c r="D322" t="s">
        <v>1029</v>
      </c>
      <c r="E322" t="s">
        <v>74</v>
      </c>
      <c r="F322" t="s">
        <v>3</v>
      </c>
      <c r="G322" t="str">
        <f>HYPERLINK("https://www.facebook.com/roman.rover1/posts/pfbid0PdSwEhSKT7khmCQDw8e21zQEZut5eUk1BZNjsd3hCTYtDZ4xoMu4afADr59CfKTFl?comment_id=1921115621820811")</f>
        <v>https://www.facebook.com/roman.rover1/posts/pfbid0PdSwEhSKT7khmCQDw8e21zQEZut5eUk1BZNjsd3hCTYtDZ4xoMu4afADr59CfKTFl?comment_id=1921115621820811</v>
      </c>
      <c r="H322" t="s">
        <v>28</v>
      </c>
      <c r="I322" t="s">
        <v>1030</v>
      </c>
      <c r="J322" t="s">
        <v>1031</v>
      </c>
      <c r="K322" t="str">
        <f>HYPERLINK("https://www.facebook.com/100000785155268")</f>
        <v>https://www.facebook.com/100000785155268</v>
      </c>
      <c r="L322">
        <v>1928</v>
      </c>
      <c r="M322" t="s">
        <v>40</v>
      </c>
      <c r="N322" t="s">
        <v>31</v>
      </c>
      <c r="O322" t="s">
        <v>1023</v>
      </c>
      <c r="P322" t="str">
        <f>HYPERLINK("https://www.facebook.com/100009428133435")</f>
        <v>https://www.facebook.com/100009428133435</v>
      </c>
      <c r="R322" t="s">
        <v>32</v>
      </c>
      <c r="S322" t="s">
        <v>85</v>
      </c>
      <c r="T322" t="s">
        <v>1032</v>
      </c>
      <c r="U322" t="s">
        <v>1033</v>
      </c>
      <c r="V322" t="s">
        <v>1034</v>
      </c>
    </row>
    <row r="323" spans="1:22" ht="16">
      <c r="A323" t="s">
        <v>973</v>
      </c>
      <c r="B323" t="s">
        <v>1035</v>
      </c>
      <c r="C323" t="s">
        <v>24</v>
      </c>
      <c r="D323" t="s">
        <v>44</v>
      </c>
      <c r="E323" t="s">
        <v>45</v>
      </c>
      <c r="F323" t="s">
        <v>46</v>
      </c>
      <c r="G323" t="str">
        <f>HYPERLINK("https://www.facebook.com/4378268839076710")</f>
        <v>https://www.facebook.com/4378268839076710</v>
      </c>
      <c r="H323" t="s">
        <v>28</v>
      </c>
      <c r="I323" t="s">
        <v>1036</v>
      </c>
      <c r="K323" t="str">
        <f>HYPERLINK("https://www.facebook.com/100008753318448")</f>
        <v>https://www.facebook.com/100008753318448</v>
      </c>
      <c r="M323" t="s">
        <v>30</v>
      </c>
      <c r="N323" t="s">
        <v>31</v>
      </c>
      <c r="O323" t="s">
        <v>1037</v>
      </c>
      <c r="P323" t="str">
        <f>HYPERLINK("https://www.facebook.com/1555711671332455")</f>
        <v>https://www.facebook.com/1555711671332455</v>
      </c>
      <c r="Q323">
        <v>21533</v>
      </c>
      <c r="R323" t="s">
        <v>32</v>
      </c>
      <c r="S323" t="s">
        <v>33</v>
      </c>
      <c r="T323" t="s">
        <v>86</v>
      </c>
      <c r="U323" t="s">
        <v>127</v>
      </c>
      <c r="V323" t="s">
        <v>128</v>
      </c>
    </row>
    <row r="324" spans="1:22" ht="16">
      <c r="A324" t="s">
        <v>973</v>
      </c>
      <c r="B324" t="s">
        <v>1038</v>
      </c>
      <c r="C324" t="s">
        <v>80</v>
      </c>
      <c r="D324" t="s">
        <v>1039</v>
      </c>
      <c r="E324" t="s">
        <v>74</v>
      </c>
      <c r="F324" t="s">
        <v>3</v>
      </c>
      <c r="G324" t="str">
        <f>HYPERLINK("https://www.facebook.com/westukrnews/posts/pfbid05KpJzZfAmc7DG6HMNPojmy3FDtYQBjx33JCcksAdDUDGcWNSDnn66BSqDiowXeWol?comment_id=909394185319175")</f>
        <v>https://www.facebook.com/westukrnews/posts/pfbid05KpJzZfAmc7DG6HMNPojmy3FDtYQBjx33JCcksAdDUDGcWNSDnn66BSqDiowXeWol?comment_id=909394185319175</v>
      </c>
      <c r="H324" t="s">
        <v>28</v>
      </c>
      <c r="I324" t="s">
        <v>1040</v>
      </c>
      <c r="K324" t="str">
        <f>HYPERLINK("https://www.facebook.com/100035095389970")</f>
        <v>https://www.facebook.com/100035095389970</v>
      </c>
      <c r="M324" t="s">
        <v>30</v>
      </c>
      <c r="N324" t="s">
        <v>31</v>
      </c>
      <c r="O324" t="s">
        <v>813</v>
      </c>
      <c r="P324" t="str">
        <f>HYPERLINK("https://www.facebook.com/264234810584424")</f>
        <v>https://www.facebook.com/264234810584424</v>
      </c>
      <c r="Q324">
        <v>559985</v>
      </c>
      <c r="R324" t="s">
        <v>32</v>
      </c>
      <c r="S324" t="s">
        <v>85</v>
      </c>
      <c r="T324" t="s">
        <v>1032</v>
      </c>
      <c r="U324" t="s">
        <v>1041</v>
      </c>
      <c r="V324" t="s">
        <v>1042</v>
      </c>
    </row>
    <row r="325" spans="1:20" ht="16">
      <c r="A325" t="s">
        <v>973</v>
      </c>
      <c r="B325" t="s">
        <v>1038</v>
      </c>
      <c r="C325" t="s">
        <v>24</v>
      </c>
      <c r="D325" t="s">
        <v>275</v>
      </c>
      <c r="E325" t="s">
        <v>45</v>
      </c>
      <c r="F325" t="s">
        <v>3</v>
      </c>
      <c r="G325" t="str">
        <f>HYPERLINK("https://twitter.com/sevatiwidam/status/2027836112517918802")</f>
        <v>https://twitter.com/sevatiwidam/status/2027836112517918802</v>
      </c>
      <c r="H325" t="s">
        <v>28</v>
      </c>
      <c r="I325" t="s">
        <v>1043</v>
      </c>
      <c r="J325" t="s">
        <v>1044</v>
      </c>
      <c r="K325" t="str">
        <f>HYPERLINK("http://twitter.com/sevatiwidam")</f>
        <v>http://twitter.com/sevatiwidam</v>
      </c>
      <c r="L325">
        <v>271</v>
      </c>
      <c r="M325" t="s">
        <v>40</v>
      </c>
      <c r="N325" t="s">
        <v>278</v>
      </c>
      <c r="R325" t="s">
        <v>32</v>
      </c>
      <c r="S325" t="s">
        <v>33</v>
      </c>
      <c r="T325" t="s">
        <v>34</v>
      </c>
    </row>
    <row r="326" spans="1:22" ht="16">
      <c r="A326" t="s">
        <v>973</v>
      </c>
      <c r="B326" t="s">
        <v>160</v>
      </c>
      <c r="C326" t="s">
        <v>24</v>
      </c>
      <c r="D326" t="s">
        <v>275</v>
      </c>
      <c r="E326" t="s">
        <v>45</v>
      </c>
      <c r="F326" t="s">
        <v>3</v>
      </c>
      <c r="G326" t="str">
        <f>HYPERLINK("https://twitter.com/Vitashechka/status/2027835041611464758")</f>
        <v>https://twitter.com/Vitashechka/status/2027835041611464758</v>
      </c>
      <c r="H326" t="s">
        <v>28</v>
      </c>
      <c r="I326" t="s">
        <v>1045</v>
      </c>
      <c r="J326" t="s">
        <v>1046</v>
      </c>
      <c r="K326" t="str">
        <f>HYPERLINK("http://twitter.com/Vitashechka")</f>
        <v>http://twitter.com/Vitashechka</v>
      </c>
      <c r="L326">
        <v>523</v>
      </c>
      <c r="M326" t="s">
        <v>30</v>
      </c>
      <c r="N326" t="s">
        <v>278</v>
      </c>
      <c r="R326" t="s">
        <v>32</v>
      </c>
      <c r="S326" t="s">
        <v>33</v>
      </c>
      <c r="T326" t="s">
        <v>34</v>
      </c>
      <c r="U326" t="s">
        <v>58</v>
      </c>
      <c r="V326" t="s">
        <v>58</v>
      </c>
    </row>
    <row r="327" spans="1:22" ht="16">
      <c r="A327" t="s">
        <v>973</v>
      </c>
      <c r="B327" t="s">
        <v>160</v>
      </c>
      <c r="C327" t="s">
        <v>24</v>
      </c>
      <c r="D327" t="s">
        <v>275</v>
      </c>
      <c r="E327" t="s">
        <v>45</v>
      </c>
      <c r="F327" t="s">
        <v>3</v>
      </c>
      <c r="G327" t="str">
        <f>HYPERLINK("https://twitter.com/AnatPanch/status/2027835017204801898")</f>
        <v>https://twitter.com/AnatPanch/status/2027835017204801898</v>
      </c>
      <c r="H327" t="s">
        <v>28</v>
      </c>
      <c r="I327" t="s">
        <v>1047</v>
      </c>
      <c r="J327" t="s">
        <v>1047</v>
      </c>
      <c r="K327" t="str">
        <f>HYPERLINK("http://twitter.com/AnatPanch")</f>
        <v>http://twitter.com/AnatPanch</v>
      </c>
      <c r="L327">
        <v>327</v>
      </c>
      <c r="N327" t="s">
        <v>278</v>
      </c>
      <c r="R327" t="s">
        <v>32</v>
      </c>
      <c r="S327" t="s">
        <v>33</v>
      </c>
      <c r="T327" t="s">
        <v>34</v>
      </c>
      <c r="U327" t="s">
        <v>58</v>
      </c>
      <c r="V327" t="s">
        <v>58</v>
      </c>
    </row>
    <row r="328" spans="1:20" ht="16">
      <c r="A328" t="s">
        <v>973</v>
      </c>
      <c r="B328" t="s">
        <v>1048</v>
      </c>
      <c r="C328" t="s">
        <v>24</v>
      </c>
      <c r="D328" t="s">
        <v>275</v>
      </c>
      <c r="E328" t="s">
        <v>45</v>
      </c>
      <c r="F328" t="s">
        <v>3</v>
      </c>
      <c r="G328" t="str">
        <f>HYPERLINK("https://twitter.com/lanna1881/status/2027834608021131381")</f>
        <v>https://twitter.com/lanna1881/status/2027834608021131381</v>
      </c>
      <c r="H328" t="s">
        <v>28</v>
      </c>
      <c r="I328" t="s">
        <v>1049</v>
      </c>
      <c r="J328" t="s">
        <v>1050</v>
      </c>
      <c r="K328" t="str">
        <f>HYPERLINK("http://twitter.com/lanna1881")</f>
        <v>http://twitter.com/lanna1881</v>
      </c>
      <c r="L328">
        <v>232</v>
      </c>
      <c r="M328" t="s">
        <v>30</v>
      </c>
      <c r="N328" t="s">
        <v>278</v>
      </c>
      <c r="R328" t="s">
        <v>32</v>
      </c>
      <c r="S328" t="s">
        <v>33</v>
      </c>
      <c r="T328" t="s">
        <v>1051</v>
      </c>
    </row>
    <row r="329" spans="1:22" ht="16">
      <c r="A329" t="s">
        <v>973</v>
      </c>
      <c r="B329" t="s">
        <v>1052</v>
      </c>
      <c r="C329" t="s">
        <v>24</v>
      </c>
      <c r="D329" t="s">
        <v>275</v>
      </c>
      <c r="E329" t="s">
        <v>45</v>
      </c>
      <c r="F329" t="s">
        <v>3</v>
      </c>
      <c r="G329" t="str">
        <f>HYPERLINK("https://twitter.com/KasyaMelnik/status/2027833976451186895")</f>
        <v>https://twitter.com/KasyaMelnik/status/2027833976451186895</v>
      </c>
      <c r="H329" t="s">
        <v>28</v>
      </c>
      <c r="I329" t="s">
        <v>1053</v>
      </c>
      <c r="J329" t="s">
        <v>1054</v>
      </c>
      <c r="K329" t="str">
        <f>HYPERLINK("http://twitter.com/KasyaMelnik")</f>
        <v>http://twitter.com/KasyaMelnik</v>
      </c>
      <c r="L329">
        <v>61</v>
      </c>
      <c r="N329" t="s">
        <v>278</v>
      </c>
      <c r="R329" t="s">
        <v>32</v>
      </c>
      <c r="S329" t="s">
        <v>33</v>
      </c>
      <c r="T329" t="s">
        <v>34</v>
      </c>
      <c r="U329" t="s">
        <v>408</v>
      </c>
      <c r="V329" t="s">
        <v>1055</v>
      </c>
    </row>
    <row r="330" spans="1:21" ht="16">
      <c r="A330" t="s">
        <v>973</v>
      </c>
      <c r="B330" t="s">
        <v>1056</v>
      </c>
      <c r="C330" t="s">
        <v>24</v>
      </c>
      <c r="D330" t="s">
        <v>254</v>
      </c>
      <c r="E330" t="s">
        <v>45</v>
      </c>
      <c r="F330" t="s">
        <v>46</v>
      </c>
      <c r="G330" t="str">
        <f>HYPERLINK("https://www.facebook.com/4248394675478099")</f>
        <v>https://www.facebook.com/4248394675478099</v>
      </c>
      <c r="H330" t="s">
        <v>28</v>
      </c>
      <c r="I330" t="s">
        <v>1057</v>
      </c>
      <c r="K330" t="str">
        <f>HYPERLINK("https://www.facebook.com/100009228259553")</f>
        <v>https://www.facebook.com/100009228259553</v>
      </c>
      <c r="M330" t="s">
        <v>30</v>
      </c>
      <c r="N330" t="s">
        <v>31</v>
      </c>
      <c r="O330" t="s">
        <v>1057</v>
      </c>
      <c r="P330" t="str">
        <f>HYPERLINK("https://www.facebook.com/100009228259553")</f>
        <v>https://www.facebook.com/100009228259553</v>
      </c>
      <c r="R330" t="s">
        <v>32</v>
      </c>
      <c r="S330" t="s">
        <v>33</v>
      </c>
      <c r="T330" t="s">
        <v>34</v>
      </c>
      <c r="U330" t="s">
        <v>77</v>
      </c>
    </row>
    <row r="331" spans="1:22" ht="16">
      <c r="A331" t="s">
        <v>973</v>
      </c>
      <c r="B331" t="s">
        <v>1058</v>
      </c>
      <c r="C331" t="s">
        <v>1019</v>
      </c>
      <c r="D331" t="s">
        <v>1059</v>
      </c>
      <c r="E331" t="s">
        <v>74</v>
      </c>
      <c r="F331" t="s">
        <v>3</v>
      </c>
      <c r="G331" t="str">
        <f>HYPERLINK("https://www.facebook.com/roman.rover1/posts/pfbid0PdSwEhSKT7khmCQDw8e21zQEZut5eUk1BZNjsd3hCTYtDZ4xoMu4afADr59CfKTFl?comment_id=910566238504584")</f>
        <v>https://www.facebook.com/roman.rover1/posts/pfbid0PdSwEhSKT7khmCQDw8e21zQEZut5eUk1BZNjsd3hCTYtDZ4xoMu4afADr59CfKTFl?comment_id=910566238504584</v>
      </c>
      <c r="H331" t="s">
        <v>28</v>
      </c>
      <c r="I331" t="s">
        <v>1060</v>
      </c>
      <c r="K331" t="str">
        <f>HYPERLINK("https://www.facebook.com/100001909380209")</f>
        <v>https://www.facebook.com/100001909380209</v>
      </c>
      <c r="M331" t="s">
        <v>40</v>
      </c>
      <c r="N331" t="s">
        <v>31</v>
      </c>
      <c r="O331" t="s">
        <v>1023</v>
      </c>
      <c r="P331" t="str">
        <f>HYPERLINK("https://www.facebook.com/100009428133435")</f>
        <v>https://www.facebook.com/100009428133435</v>
      </c>
      <c r="R331" t="s">
        <v>32</v>
      </c>
      <c r="S331" t="s">
        <v>33</v>
      </c>
      <c r="T331" t="s">
        <v>34</v>
      </c>
      <c r="U331" t="s">
        <v>235</v>
      </c>
      <c r="V331" t="s">
        <v>1061</v>
      </c>
    </row>
    <row r="332" spans="1:20" ht="16">
      <c r="A332" t="s">
        <v>973</v>
      </c>
      <c r="B332" t="s">
        <v>1062</v>
      </c>
      <c r="C332" t="s">
        <v>24</v>
      </c>
      <c r="D332" t="s">
        <v>275</v>
      </c>
      <c r="E332" t="s">
        <v>45</v>
      </c>
      <c r="F332" t="s">
        <v>3</v>
      </c>
      <c r="G332" t="str">
        <f>HYPERLINK("https://twitter.com/PAnatoliyovich/status/2027830397925564723")</f>
        <v>https://twitter.com/PAnatoliyovich/status/2027830397925564723</v>
      </c>
      <c r="H332" t="s">
        <v>28</v>
      </c>
      <c r="I332" t="s">
        <v>1063</v>
      </c>
      <c r="J332" t="s">
        <v>1064</v>
      </c>
      <c r="K332" t="str">
        <f>HYPERLINK("http://twitter.com/PAnatoliyovich")</f>
        <v>http://twitter.com/PAnatoliyovich</v>
      </c>
      <c r="L332">
        <v>125</v>
      </c>
      <c r="M332" t="s">
        <v>40</v>
      </c>
      <c r="N332" t="s">
        <v>278</v>
      </c>
      <c r="R332" t="s">
        <v>32</v>
      </c>
      <c r="S332" t="s">
        <v>33</v>
      </c>
      <c r="T332" t="s">
        <v>34</v>
      </c>
    </row>
    <row r="333" spans="1:22" ht="16">
      <c r="A333" t="s">
        <v>973</v>
      </c>
      <c r="B333" t="s">
        <v>1065</v>
      </c>
      <c r="C333" t="s">
        <v>80</v>
      </c>
      <c r="D333" t="s">
        <v>1066</v>
      </c>
      <c r="E333" t="s">
        <v>74</v>
      </c>
      <c r="F333" t="s">
        <v>3</v>
      </c>
      <c r="G333" t="str">
        <f>HYPERLINK("https://www.facebook.com/westukrnews/posts/pfbid05KpJzZfAmc7DG6HMNPojmy3FDtYQBjx33JCcksAdDUDGcWNSDnn66BSqDiowXeWol?comment_id=3424062497750012")</f>
        <v>https://www.facebook.com/westukrnews/posts/pfbid05KpJzZfAmc7DG6HMNPojmy3FDtYQBjx33JCcksAdDUDGcWNSDnn66BSqDiowXeWol?comment_id=3424062497750012</v>
      </c>
      <c r="H333" t="s">
        <v>28</v>
      </c>
      <c r="I333" t="s">
        <v>1067</v>
      </c>
      <c r="J333" t="s">
        <v>1068</v>
      </c>
      <c r="K333" t="str">
        <f>HYPERLINK("https://www.facebook.com/100025224639544")</f>
        <v>https://www.facebook.com/100025224639544</v>
      </c>
      <c r="M333" t="s">
        <v>30</v>
      </c>
      <c r="N333" t="s">
        <v>31</v>
      </c>
      <c r="O333" t="s">
        <v>813</v>
      </c>
      <c r="P333" t="str">
        <f>HYPERLINK("https://www.facebook.com/264234810584424")</f>
        <v>https://www.facebook.com/264234810584424</v>
      </c>
      <c r="Q333">
        <v>559985</v>
      </c>
      <c r="R333" t="s">
        <v>32</v>
      </c>
      <c r="S333" t="s">
        <v>33</v>
      </c>
      <c r="T333" t="s">
        <v>34</v>
      </c>
      <c r="U333" t="s">
        <v>478</v>
      </c>
      <c r="V333" t="s">
        <v>479</v>
      </c>
    </row>
    <row r="334" spans="1:20" ht="16">
      <c r="A334" t="s">
        <v>973</v>
      </c>
      <c r="B334" t="s">
        <v>1065</v>
      </c>
      <c r="C334" t="s">
        <v>24</v>
      </c>
      <c r="D334" t="s">
        <v>275</v>
      </c>
      <c r="E334" t="s">
        <v>45</v>
      </c>
      <c r="F334" t="s">
        <v>3</v>
      </c>
      <c r="G334" t="str">
        <f>HYPERLINK("https://twitter.com/Tut_toje_tut/status/2027830074171441338")</f>
        <v>https://twitter.com/Tut_toje_tut/status/2027830074171441338</v>
      </c>
      <c r="H334" t="s">
        <v>28</v>
      </c>
      <c r="I334" t="s">
        <v>1069</v>
      </c>
      <c r="J334" t="s">
        <v>1070</v>
      </c>
      <c r="K334" t="str">
        <f>HYPERLINK("http://twitter.com/Tut_toje_tut")</f>
        <v>http://twitter.com/Tut_toje_tut</v>
      </c>
      <c r="L334">
        <v>635</v>
      </c>
      <c r="M334" t="s">
        <v>30</v>
      </c>
      <c r="N334" t="s">
        <v>278</v>
      </c>
      <c r="R334" t="s">
        <v>32</v>
      </c>
      <c r="S334" t="s">
        <v>33</v>
      </c>
      <c r="T334" t="s">
        <v>34</v>
      </c>
    </row>
    <row r="335" spans="1:22" ht="16">
      <c r="A335" t="s">
        <v>973</v>
      </c>
      <c r="B335" t="s">
        <v>171</v>
      </c>
      <c r="C335" t="s">
        <v>24</v>
      </c>
      <c r="D335" t="s">
        <v>238</v>
      </c>
      <c r="E335" t="s">
        <v>45</v>
      </c>
      <c r="F335" t="s">
        <v>3</v>
      </c>
      <c r="G335" t="str">
        <f>HYPERLINK("https://www.facebook.com/3530853870386090")</f>
        <v>https://www.facebook.com/3530853870386090</v>
      </c>
      <c r="H335" t="s">
        <v>28</v>
      </c>
      <c r="I335" t="s">
        <v>1071</v>
      </c>
      <c r="J335" t="s">
        <v>1072</v>
      </c>
      <c r="K335" t="str">
        <f>HYPERLINK("https://www.facebook.com/100003845366565")</f>
        <v>https://www.facebook.com/100003845366565</v>
      </c>
      <c r="M335" t="s">
        <v>40</v>
      </c>
      <c r="N335" t="s">
        <v>31</v>
      </c>
      <c r="O335" t="s">
        <v>1071</v>
      </c>
      <c r="P335" t="str">
        <f>HYPERLINK("https://www.facebook.com/100003845366565")</f>
        <v>https://www.facebook.com/100003845366565</v>
      </c>
      <c r="R335" t="s">
        <v>32</v>
      </c>
      <c r="S335" t="s">
        <v>33</v>
      </c>
      <c r="T335" t="s">
        <v>34</v>
      </c>
      <c r="U335" t="s">
        <v>41</v>
      </c>
      <c r="V335" t="s">
        <v>42</v>
      </c>
    </row>
    <row r="336" spans="1:20" ht="16">
      <c r="A336" t="s">
        <v>973</v>
      </c>
      <c r="B336" t="s">
        <v>171</v>
      </c>
      <c r="C336" t="s">
        <v>24</v>
      </c>
      <c r="D336" t="s">
        <v>275</v>
      </c>
      <c r="E336" t="s">
        <v>45</v>
      </c>
      <c r="F336" t="s">
        <v>3</v>
      </c>
      <c r="G336" t="str">
        <f>HYPERLINK("https://twitter.com/LediK13/status/2027829221381255665")</f>
        <v>https://twitter.com/LediK13/status/2027829221381255665</v>
      </c>
      <c r="H336" t="s">
        <v>28</v>
      </c>
      <c r="I336" t="s">
        <v>1073</v>
      </c>
      <c r="J336" t="s">
        <v>1074</v>
      </c>
      <c r="K336" t="str">
        <f>HYPERLINK("http://twitter.com/LediK13")</f>
        <v>http://twitter.com/LediK13</v>
      </c>
      <c r="L336">
        <v>526</v>
      </c>
      <c r="M336" t="s">
        <v>40</v>
      </c>
      <c r="N336" t="s">
        <v>278</v>
      </c>
      <c r="R336" t="s">
        <v>32</v>
      </c>
      <c r="S336" t="s">
        <v>33</v>
      </c>
      <c r="T336" t="s">
        <v>34</v>
      </c>
    </row>
    <row r="337" spans="1:20" ht="16">
      <c r="A337" t="s">
        <v>973</v>
      </c>
      <c r="B337" t="s">
        <v>1075</v>
      </c>
      <c r="C337" t="s">
        <v>24</v>
      </c>
      <c r="D337" t="s">
        <v>275</v>
      </c>
      <c r="E337" t="s">
        <v>45</v>
      </c>
      <c r="F337" t="s">
        <v>3</v>
      </c>
      <c r="G337" t="str">
        <f>HYPERLINK("https://twitter.com/Maseich/status/2027828676239249428")</f>
        <v>https://twitter.com/Maseich/status/2027828676239249428</v>
      </c>
      <c r="H337" t="s">
        <v>28</v>
      </c>
      <c r="I337" t="s">
        <v>1076</v>
      </c>
      <c r="J337" t="s">
        <v>1077</v>
      </c>
      <c r="K337" t="str">
        <f>HYPERLINK("http://twitter.com/Maseich")</f>
        <v>http://twitter.com/Maseich</v>
      </c>
      <c r="L337">
        <v>853</v>
      </c>
      <c r="M337" t="s">
        <v>40</v>
      </c>
      <c r="N337" t="s">
        <v>278</v>
      </c>
      <c r="R337" t="s">
        <v>32</v>
      </c>
      <c r="S337" t="s">
        <v>33</v>
      </c>
      <c r="T337" t="s">
        <v>117</v>
      </c>
    </row>
    <row r="338" spans="1:22" ht="16">
      <c r="A338" t="s">
        <v>973</v>
      </c>
      <c r="B338" t="s">
        <v>1078</v>
      </c>
      <c r="C338" t="s">
        <v>80</v>
      </c>
      <c r="D338" t="s">
        <v>1079</v>
      </c>
      <c r="E338" t="s">
        <v>74</v>
      </c>
      <c r="F338" t="s">
        <v>3</v>
      </c>
      <c r="G338" t="str">
        <f>HYPERLINK("https://www.facebook.com/westukrnews/posts/pfbid05KpJzZfAmc7DG6HMNPojmy3FDtYQBjx33JCcksAdDUDGcWNSDnn66BSqDiowXeWol?comment_id=782895091526324")</f>
        <v>https://www.facebook.com/westukrnews/posts/pfbid05KpJzZfAmc7DG6HMNPojmy3FDtYQBjx33JCcksAdDUDGcWNSDnn66BSqDiowXeWol?comment_id=782895091526324</v>
      </c>
      <c r="H338" t="s">
        <v>28</v>
      </c>
      <c r="I338" t="s">
        <v>1080</v>
      </c>
      <c r="K338" t="str">
        <f>HYPERLINK("https://www.facebook.com/100059191608059")</f>
        <v>https://www.facebook.com/100059191608059</v>
      </c>
      <c r="M338" t="s">
        <v>30</v>
      </c>
      <c r="N338" t="s">
        <v>31</v>
      </c>
      <c r="O338" t="s">
        <v>813</v>
      </c>
      <c r="P338" t="str">
        <f>HYPERLINK("https://www.facebook.com/264234810584424")</f>
        <v>https://www.facebook.com/264234810584424</v>
      </c>
      <c r="Q338">
        <v>559985</v>
      </c>
      <c r="R338" t="s">
        <v>32</v>
      </c>
      <c r="S338" t="s">
        <v>33</v>
      </c>
      <c r="T338" t="s">
        <v>34</v>
      </c>
      <c r="U338" t="s">
        <v>41</v>
      </c>
      <c r="V338" t="s">
        <v>42</v>
      </c>
    </row>
    <row r="339" spans="1:22" ht="16">
      <c r="A339" t="s">
        <v>973</v>
      </c>
      <c r="B339" t="s">
        <v>1081</v>
      </c>
      <c r="C339" t="s">
        <v>24</v>
      </c>
      <c r="D339" t="s">
        <v>238</v>
      </c>
      <c r="E339" t="s">
        <v>45</v>
      </c>
      <c r="F339" t="s">
        <v>3</v>
      </c>
      <c r="G339" t="str">
        <f>HYPERLINK("https://www.facebook.com/26048503274810516")</f>
        <v>https://www.facebook.com/26048503274810516</v>
      </c>
      <c r="H339" t="s">
        <v>28</v>
      </c>
      <c r="I339" t="s">
        <v>1082</v>
      </c>
      <c r="J339" t="s">
        <v>1083</v>
      </c>
      <c r="K339" t="str">
        <f>HYPERLINK("https://www.facebook.com/100002325962358")</f>
        <v>https://www.facebook.com/100002325962358</v>
      </c>
      <c r="M339" t="s">
        <v>30</v>
      </c>
      <c r="N339" t="s">
        <v>31</v>
      </c>
      <c r="O339" t="s">
        <v>1082</v>
      </c>
      <c r="P339" t="str">
        <f>HYPERLINK("https://www.facebook.com/100002325962358")</f>
        <v>https://www.facebook.com/100002325962358</v>
      </c>
      <c r="R339" t="s">
        <v>32</v>
      </c>
      <c r="S339" t="s">
        <v>33</v>
      </c>
      <c r="T339" t="s">
        <v>34</v>
      </c>
      <c r="U339" t="s">
        <v>41</v>
      </c>
      <c r="V339" t="s">
        <v>42</v>
      </c>
    </row>
    <row r="340" spans="1:20" ht="16">
      <c r="A340" t="s">
        <v>973</v>
      </c>
      <c r="B340" t="s">
        <v>1084</v>
      </c>
      <c r="C340" t="s">
        <v>24</v>
      </c>
      <c r="D340" t="s">
        <v>275</v>
      </c>
      <c r="E340" t="s">
        <v>45</v>
      </c>
      <c r="F340" t="s">
        <v>3</v>
      </c>
      <c r="G340" t="str">
        <f>HYPERLINK("https://twitter.com/MarinaGakhova/status/2027827613079605458")</f>
        <v>https://twitter.com/MarinaGakhova/status/2027827613079605458</v>
      </c>
      <c r="H340" t="s">
        <v>28</v>
      </c>
      <c r="I340" t="s">
        <v>1085</v>
      </c>
      <c r="J340" t="s">
        <v>1086</v>
      </c>
      <c r="K340" t="str">
        <f>HYPERLINK("http://twitter.com/MarinaGakhova")</f>
        <v>http://twitter.com/MarinaGakhova</v>
      </c>
      <c r="L340">
        <v>433</v>
      </c>
      <c r="M340" t="s">
        <v>30</v>
      </c>
      <c r="N340" t="s">
        <v>278</v>
      </c>
      <c r="R340" t="s">
        <v>32</v>
      </c>
      <c r="S340" t="s">
        <v>33</v>
      </c>
      <c r="T340" t="s">
        <v>34</v>
      </c>
    </row>
    <row r="341" spans="1:20" ht="16">
      <c r="A341" t="s">
        <v>973</v>
      </c>
      <c r="B341" t="s">
        <v>1087</v>
      </c>
      <c r="C341" t="s">
        <v>24</v>
      </c>
      <c r="D341" t="s">
        <v>275</v>
      </c>
      <c r="E341" t="s">
        <v>45</v>
      </c>
      <c r="F341" t="s">
        <v>3</v>
      </c>
      <c r="G341" t="str">
        <f>HYPERLINK("https://twitter.com/AnatolySho/status/2027826984089211033")</f>
        <v>https://twitter.com/AnatolySho/status/2027826984089211033</v>
      </c>
      <c r="H341" t="s">
        <v>28</v>
      </c>
      <c r="I341" t="s">
        <v>1088</v>
      </c>
      <c r="J341" t="s">
        <v>1089</v>
      </c>
      <c r="K341" t="str">
        <f>HYPERLINK("http://twitter.com/AnatolySho")</f>
        <v>http://twitter.com/AnatolySho</v>
      </c>
      <c r="L341">
        <v>219</v>
      </c>
      <c r="M341" t="s">
        <v>40</v>
      </c>
      <c r="N341" t="s">
        <v>278</v>
      </c>
      <c r="R341" t="s">
        <v>32</v>
      </c>
      <c r="S341" t="s">
        <v>33</v>
      </c>
      <c r="T341" t="s">
        <v>34</v>
      </c>
    </row>
    <row r="342" spans="1:20" ht="16">
      <c r="A342" t="s">
        <v>973</v>
      </c>
      <c r="B342" t="s">
        <v>1090</v>
      </c>
      <c r="C342" t="s">
        <v>24</v>
      </c>
      <c r="D342" t="s">
        <v>275</v>
      </c>
      <c r="E342" t="s">
        <v>45</v>
      </c>
      <c r="F342" t="s">
        <v>3</v>
      </c>
      <c r="G342" t="str">
        <f>HYPERLINK("https://twitter.com/krot04/status/2027826075502346566")</f>
        <v>https://twitter.com/krot04/status/2027826075502346566</v>
      </c>
      <c r="H342" t="s">
        <v>28</v>
      </c>
      <c r="I342" t="s">
        <v>1091</v>
      </c>
      <c r="J342" t="s">
        <v>1091</v>
      </c>
      <c r="K342" t="str">
        <f>HYPERLINK("http://twitter.com/krot04")</f>
        <v>http://twitter.com/krot04</v>
      </c>
      <c r="L342">
        <v>437</v>
      </c>
      <c r="N342" t="s">
        <v>278</v>
      </c>
      <c r="R342" t="s">
        <v>32</v>
      </c>
      <c r="S342" t="s">
        <v>33</v>
      </c>
      <c r="T342" t="s">
        <v>34</v>
      </c>
    </row>
    <row r="343" spans="1:20" ht="16">
      <c r="A343" t="s">
        <v>973</v>
      </c>
      <c r="B343" t="s">
        <v>1090</v>
      </c>
      <c r="C343" t="s">
        <v>24</v>
      </c>
      <c r="D343" t="s">
        <v>275</v>
      </c>
      <c r="E343" t="s">
        <v>45</v>
      </c>
      <c r="F343" t="s">
        <v>3</v>
      </c>
      <c r="G343" t="str">
        <f>HYPERLINK("https://twitter.com/VitaliyUdo/status/2027825981751263460")</f>
        <v>https://twitter.com/VitaliyUdo/status/2027825981751263460</v>
      </c>
      <c r="H343" t="s">
        <v>28</v>
      </c>
      <c r="I343" t="s">
        <v>1092</v>
      </c>
      <c r="J343" t="s">
        <v>1093</v>
      </c>
      <c r="K343" t="str">
        <f>HYPERLINK("http://twitter.com/VitaliyUdo")</f>
        <v>http://twitter.com/VitaliyUdo</v>
      </c>
      <c r="L343">
        <v>741</v>
      </c>
      <c r="M343" t="s">
        <v>40</v>
      </c>
      <c r="N343" t="s">
        <v>278</v>
      </c>
      <c r="R343" t="s">
        <v>32</v>
      </c>
      <c r="S343" t="s">
        <v>33</v>
      </c>
      <c r="T343" t="s">
        <v>34</v>
      </c>
    </row>
    <row r="344" spans="1:20" ht="16">
      <c r="A344" t="s">
        <v>973</v>
      </c>
      <c r="B344" t="s">
        <v>175</v>
      </c>
      <c r="C344" t="s">
        <v>24</v>
      </c>
      <c r="D344" t="s">
        <v>275</v>
      </c>
      <c r="E344" t="s">
        <v>45</v>
      </c>
      <c r="F344" t="s">
        <v>3</v>
      </c>
      <c r="G344" t="str">
        <f>HYPERLINK("https://twitter.com/MrychkoYar/status/2027825826218041665")</f>
        <v>https://twitter.com/MrychkoYar/status/2027825826218041665</v>
      </c>
      <c r="H344" t="s">
        <v>28</v>
      </c>
      <c r="I344" t="s">
        <v>1094</v>
      </c>
      <c r="J344" t="s">
        <v>1095</v>
      </c>
      <c r="K344" t="str">
        <f>HYPERLINK("http://twitter.com/MrychkoYar")</f>
        <v>http://twitter.com/MrychkoYar</v>
      </c>
      <c r="L344">
        <v>168</v>
      </c>
      <c r="M344" t="s">
        <v>40</v>
      </c>
      <c r="N344" t="s">
        <v>278</v>
      </c>
      <c r="R344" t="s">
        <v>32</v>
      </c>
      <c r="S344" t="s">
        <v>33</v>
      </c>
      <c r="T344" t="s">
        <v>34</v>
      </c>
    </row>
    <row r="345" spans="1:20" ht="16">
      <c r="A345" t="s">
        <v>973</v>
      </c>
      <c r="B345" t="s">
        <v>175</v>
      </c>
      <c r="C345" t="s">
        <v>24</v>
      </c>
      <c r="D345" t="s">
        <v>275</v>
      </c>
      <c r="E345" t="s">
        <v>45</v>
      </c>
      <c r="F345" t="s">
        <v>3</v>
      </c>
      <c r="G345" t="str">
        <f>HYPERLINK("https://twitter.com/pozharnyts_ka/status/2027825767359385613")</f>
        <v>https://twitter.com/pozharnyts_ka/status/2027825767359385613</v>
      </c>
      <c r="H345" t="s">
        <v>28</v>
      </c>
      <c r="I345" t="s">
        <v>1096</v>
      </c>
      <c r="J345" t="s">
        <v>1097</v>
      </c>
      <c r="K345" t="str">
        <f>HYPERLINK("http://twitter.com/pozharnyts_ka")</f>
        <v>http://twitter.com/pozharnyts_ka</v>
      </c>
      <c r="L345">
        <v>193</v>
      </c>
      <c r="N345" t="s">
        <v>278</v>
      </c>
      <c r="R345" t="s">
        <v>32</v>
      </c>
      <c r="S345" t="s">
        <v>33</v>
      </c>
      <c r="T345" t="s">
        <v>34</v>
      </c>
    </row>
    <row r="346" spans="1:20" ht="16">
      <c r="A346" t="s">
        <v>973</v>
      </c>
      <c r="B346" t="s">
        <v>1098</v>
      </c>
      <c r="C346" t="s">
        <v>24</v>
      </c>
      <c r="D346" t="s">
        <v>275</v>
      </c>
      <c r="E346" t="s">
        <v>45</v>
      </c>
      <c r="F346" t="s">
        <v>3</v>
      </c>
      <c r="G346" t="str">
        <f>HYPERLINK("https://twitter.com/katrinwerty/status/2027824958907326896")</f>
        <v>https://twitter.com/katrinwerty/status/2027824958907326896</v>
      </c>
      <c r="H346" t="s">
        <v>28</v>
      </c>
      <c r="I346" t="s">
        <v>1099</v>
      </c>
      <c r="J346" t="s">
        <v>1100</v>
      </c>
      <c r="K346" t="str">
        <f>HYPERLINK("http://twitter.com/katrinwerty")</f>
        <v>http://twitter.com/katrinwerty</v>
      </c>
      <c r="L346">
        <v>3624</v>
      </c>
      <c r="M346" t="s">
        <v>30</v>
      </c>
      <c r="N346" t="s">
        <v>278</v>
      </c>
      <c r="R346" t="s">
        <v>32</v>
      </c>
      <c r="S346" t="s">
        <v>33</v>
      </c>
      <c r="T346" t="s">
        <v>34</v>
      </c>
    </row>
    <row r="347" spans="1:20" ht="16">
      <c r="A347" t="s">
        <v>973</v>
      </c>
      <c r="B347" t="s">
        <v>1101</v>
      </c>
      <c r="C347" t="s">
        <v>24</v>
      </c>
      <c r="D347" t="s">
        <v>275</v>
      </c>
      <c r="E347" t="s">
        <v>45</v>
      </c>
      <c r="F347" t="s">
        <v>3</v>
      </c>
      <c r="G347" t="str">
        <f>HYPERLINK("https://twitter.com/kravayu/status/2027821708468441570")</f>
        <v>https://twitter.com/kravayu/status/2027821708468441570</v>
      </c>
      <c r="H347" t="s">
        <v>28</v>
      </c>
      <c r="I347" t="s">
        <v>1102</v>
      </c>
      <c r="J347" t="s">
        <v>1103</v>
      </c>
      <c r="K347" t="str">
        <f>HYPERLINK("http://twitter.com/kravayu")</f>
        <v>http://twitter.com/kravayu</v>
      </c>
      <c r="L347">
        <v>374</v>
      </c>
      <c r="N347" t="s">
        <v>278</v>
      </c>
      <c r="R347" t="s">
        <v>32</v>
      </c>
      <c r="S347" t="s">
        <v>33</v>
      </c>
      <c r="T347" t="s">
        <v>34</v>
      </c>
    </row>
    <row r="348" spans="1:20" ht="16">
      <c r="A348" t="s">
        <v>973</v>
      </c>
      <c r="B348" t="s">
        <v>1104</v>
      </c>
      <c r="C348" t="s">
        <v>24</v>
      </c>
      <c r="D348" t="s">
        <v>275</v>
      </c>
      <c r="E348" t="s">
        <v>45</v>
      </c>
      <c r="F348" t="s">
        <v>3</v>
      </c>
      <c r="G348" t="str">
        <f>HYPERLINK("https://twitter.com/bichikota/status/2027821557301526989")</f>
        <v>https://twitter.com/bichikota/status/2027821557301526989</v>
      </c>
      <c r="H348" t="s">
        <v>28</v>
      </c>
      <c r="I348" t="s">
        <v>1105</v>
      </c>
      <c r="J348" t="s">
        <v>1106</v>
      </c>
      <c r="K348" t="str">
        <f>HYPERLINK("http://twitter.com/bichikota")</f>
        <v>http://twitter.com/bichikota</v>
      </c>
      <c r="L348">
        <v>7907</v>
      </c>
      <c r="N348" t="s">
        <v>278</v>
      </c>
      <c r="R348" t="s">
        <v>32</v>
      </c>
      <c r="S348" t="s">
        <v>33</v>
      </c>
      <c r="T348" t="s">
        <v>34</v>
      </c>
    </row>
    <row r="349" spans="1:22" ht="16">
      <c r="A349" t="s">
        <v>973</v>
      </c>
      <c r="B349" t="s">
        <v>1104</v>
      </c>
      <c r="C349" t="s">
        <v>1019</v>
      </c>
      <c r="D349" t="s">
        <v>1107</v>
      </c>
      <c r="E349" t="s">
        <v>74</v>
      </c>
      <c r="F349" t="s">
        <v>3</v>
      </c>
      <c r="G349" t="str">
        <f>HYPERLINK("https://www.facebook.com/roman.rover1/posts/pfbid0PdSwEhSKT7khmCQDw8e21zQEZut5eUk1BZNjsd3hCTYtDZ4xoMu4afADr59CfKTFl?comment_id=1238677528456081&amp;reply_comment_id=1436023968534684")</f>
        <v>https://www.facebook.com/roman.rover1/posts/pfbid0PdSwEhSKT7khmCQDw8e21zQEZut5eUk1BZNjsd3hCTYtDZ4xoMu4afADr59CfKTFl?comment_id=1238677528456081&amp;reply_comment_id=1436023968534684</v>
      </c>
      <c r="H349" t="s">
        <v>28</v>
      </c>
      <c r="I349" t="s">
        <v>1023</v>
      </c>
      <c r="J349" t="s">
        <v>1108</v>
      </c>
      <c r="K349" t="str">
        <f>HYPERLINK("https://www.facebook.com/100009428133435")</f>
        <v>https://www.facebook.com/100009428133435</v>
      </c>
      <c r="M349" t="s">
        <v>40</v>
      </c>
      <c r="N349" t="s">
        <v>31</v>
      </c>
      <c r="O349" t="s">
        <v>1023</v>
      </c>
      <c r="P349" t="str">
        <f>HYPERLINK("https://www.facebook.com/100009428133435")</f>
        <v>https://www.facebook.com/100009428133435</v>
      </c>
      <c r="R349" t="s">
        <v>32</v>
      </c>
      <c r="S349" t="s">
        <v>33</v>
      </c>
      <c r="T349" t="s">
        <v>34</v>
      </c>
      <c r="U349" t="s">
        <v>41</v>
      </c>
      <c r="V349" t="s">
        <v>42</v>
      </c>
    </row>
    <row r="350" spans="1:19" ht="16">
      <c r="A350" t="s">
        <v>973</v>
      </c>
      <c r="B350" t="s">
        <v>1109</v>
      </c>
      <c r="C350" t="s">
        <v>24</v>
      </c>
      <c r="D350" t="s">
        <v>49</v>
      </c>
      <c r="E350" t="s">
        <v>45</v>
      </c>
      <c r="F350" t="s">
        <v>46</v>
      </c>
      <c r="G350" t="str">
        <f>HYPERLINK("https://www.facebook.com/1979183183015056")</f>
        <v>https://www.facebook.com/1979183183015056</v>
      </c>
      <c r="H350" t="s">
        <v>28</v>
      </c>
      <c r="I350" t="s">
        <v>1110</v>
      </c>
      <c r="K350" t="str">
        <f>HYPERLINK("https://www.facebook.com/100027701793649")</f>
        <v>https://www.facebook.com/100027701793649</v>
      </c>
      <c r="L350">
        <v>215</v>
      </c>
      <c r="M350" t="s">
        <v>30</v>
      </c>
      <c r="N350" t="s">
        <v>31</v>
      </c>
      <c r="O350" t="s">
        <v>1110</v>
      </c>
      <c r="P350" t="str">
        <f>HYPERLINK("https://www.facebook.com/100027701793649")</f>
        <v>https://www.facebook.com/100027701793649</v>
      </c>
      <c r="Q350">
        <v>215</v>
      </c>
      <c r="R350" t="s">
        <v>32</v>
      </c>
      <c r="S350" t="s">
        <v>33</v>
      </c>
    </row>
    <row r="351" spans="1:20" ht="16">
      <c r="A351" t="s">
        <v>973</v>
      </c>
      <c r="B351" t="s">
        <v>1109</v>
      </c>
      <c r="C351" t="s">
        <v>24</v>
      </c>
      <c r="D351" t="s">
        <v>275</v>
      </c>
      <c r="E351" t="s">
        <v>45</v>
      </c>
      <c r="F351" t="s">
        <v>3</v>
      </c>
      <c r="G351" t="str">
        <f>HYPERLINK("https://twitter.com/SamTatarin/status/2027820257646100791")</f>
        <v>https://twitter.com/SamTatarin/status/2027820257646100791</v>
      </c>
      <c r="H351" t="s">
        <v>28</v>
      </c>
      <c r="I351" t="s">
        <v>1111</v>
      </c>
      <c r="J351" t="s">
        <v>1111</v>
      </c>
      <c r="K351" t="str">
        <f>HYPERLINK("http://twitter.com/SamTatarin")</f>
        <v>http://twitter.com/SamTatarin</v>
      </c>
      <c r="L351">
        <v>180</v>
      </c>
      <c r="N351" t="s">
        <v>278</v>
      </c>
      <c r="R351" t="s">
        <v>32</v>
      </c>
      <c r="S351" t="s">
        <v>33</v>
      </c>
      <c r="T351" t="s">
        <v>34</v>
      </c>
    </row>
    <row r="352" spans="1:20" ht="16">
      <c r="A352" t="s">
        <v>973</v>
      </c>
      <c r="B352" t="s">
        <v>1112</v>
      </c>
      <c r="C352" t="s">
        <v>24</v>
      </c>
      <c r="D352" t="s">
        <v>275</v>
      </c>
      <c r="E352" t="s">
        <v>45</v>
      </c>
      <c r="F352" t="s">
        <v>3</v>
      </c>
      <c r="G352" t="str">
        <f>HYPERLINK("https://twitter.com/andrij845343/status/2027819348132319550")</f>
        <v>https://twitter.com/andrij845343/status/2027819348132319550</v>
      </c>
      <c r="H352" t="s">
        <v>28</v>
      </c>
      <c r="I352" t="s">
        <v>1113</v>
      </c>
      <c r="J352" t="s">
        <v>1114</v>
      </c>
      <c r="K352" t="str">
        <f>HYPERLINK("http://twitter.com/andrij845343")</f>
        <v>http://twitter.com/andrij845343</v>
      </c>
      <c r="L352">
        <v>49</v>
      </c>
      <c r="M352" t="s">
        <v>40</v>
      </c>
      <c r="N352" t="s">
        <v>278</v>
      </c>
      <c r="R352" t="s">
        <v>32</v>
      </c>
      <c r="S352" t="s">
        <v>33</v>
      </c>
      <c r="T352" t="s">
        <v>34</v>
      </c>
    </row>
    <row r="353" spans="1:22" ht="16">
      <c r="A353" t="s">
        <v>973</v>
      </c>
      <c r="B353" t="s">
        <v>184</v>
      </c>
      <c r="C353" t="s">
        <v>1019</v>
      </c>
      <c r="D353" t="s">
        <v>1115</v>
      </c>
      <c r="E353" t="s">
        <v>74</v>
      </c>
      <c r="F353" t="s">
        <v>3</v>
      </c>
      <c r="G353" t="str">
        <f>HYPERLINK("https://www.facebook.com/roman.rover1/posts/pfbid0PdSwEhSKT7khmCQDw8e21zQEZut5eUk1BZNjsd3hCTYtDZ4xoMu4afADr59CfKTFl?comment_id=1238677528456081&amp;reply_comment_id=1441063217429992")</f>
        <v>https://www.facebook.com/roman.rover1/posts/pfbid0PdSwEhSKT7khmCQDw8e21zQEZut5eUk1BZNjsd3hCTYtDZ4xoMu4afADr59CfKTFl?comment_id=1238677528456081&amp;reply_comment_id=1441063217429992</v>
      </c>
      <c r="H353" t="s">
        <v>28</v>
      </c>
      <c r="I353" t="s">
        <v>1023</v>
      </c>
      <c r="J353" t="s">
        <v>1108</v>
      </c>
      <c r="K353" t="str">
        <f>HYPERLINK("https://www.facebook.com/100009428133435")</f>
        <v>https://www.facebook.com/100009428133435</v>
      </c>
      <c r="M353" t="s">
        <v>40</v>
      </c>
      <c r="N353" t="s">
        <v>31</v>
      </c>
      <c r="O353" t="s">
        <v>1023</v>
      </c>
      <c r="P353" t="str">
        <f>HYPERLINK("https://www.facebook.com/100009428133435")</f>
        <v>https://www.facebook.com/100009428133435</v>
      </c>
      <c r="R353" t="s">
        <v>32</v>
      </c>
      <c r="S353" t="s">
        <v>33</v>
      </c>
      <c r="T353" t="s">
        <v>34</v>
      </c>
      <c r="U353" t="s">
        <v>41</v>
      </c>
      <c r="V353" t="s">
        <v>42</v>
      </c>
    </row>
    <row r="354" spans="1:22" ht="16">
      <c r="A354" t="s">
        <v>973</v>
      </c>
      <c r="B354" t="s">
        <v>1116</v>
      </c>
      <c r="C354" t="s">
        <v>1019</v>
      </c>
      <c r="D354" t="s">
        <v>1117</v>
      </c>
      <c r="E354" t="s">
        <v>74</v>
      </c>
      <c r="F354" t="s">
        <v>3</v>
      </c>
      <c r="G354" t="str">
        <f>HYPERLINK("https://www.facebook.com/roman.rover1/posts/pfbid0PdSwEhSKT7khmCQDw8e21zQEZut5eUk1BZNjsd3hCTYtDZ4xoMu4afADr59CfKTFl?comment_id=1238677528456081")</f>
        <v>https://www.facebook.com/roman.rover1/posts/pfbid0PdSwEhSKT7khmCQDw8e21zQEZut5eUk1BZNjsd3hCTYtDZ4xoMu4afADr59CfKTFl?comment_id=1238677528456081</v>
      </c>
      <c r="H354" t="s">
        <v>28</v>
      </c>
      <c r="I354" t="s">
        <v>1118</v>
      </c>
      <c r="J354" t="s">
        <v>1119</v>
      </c>
      <c r="K354" t="str">
        <f>HYPERLINK("https://www.facebook.com/100001987358957")</f>
        <v>https://www.facebook.com/100001987358957</v>
      </c>
      <c r="M354" t="s">
        <v>40</v>
      </c>
      <c r="N354" t="s">
        <v>31</v>
      </c>
      <c r="O354" t="s">
        <v>1023</v>
      </c>
      <c r="P354" t="str">
        <f>HYPERLINK("https://www.facebook.com/100009428133435")</f>
        <v>https://www.facebook.com/100009428133435</v>
      </c>
      <c r="R354" t="s">
        <v>32</v>
      </c>
      <c r="S354" t="s">
        <v>33</v>
      </c>
      <c r="T354" t="s">
        <v>34</v>
      </c>
      <c r="U354" t="s">
        <v>35</v>
      </c>
      <c r="V354" t="s">
        <v>1120</v>
      </c>
    </row>
    <row r="355" spans="1:20" ht="16">
      <c r="A355" t="s">
        <v>973</v>
      </c>
      <c r="B355" t="s">
        <v>1121</v>
      </c>
      <c r="C355" t="s">
        <v>24</v>
      </c>
      <c r="D355" t="s">
        <v>275</v>
      </c>
      <c r="E355" t="s">
        <v>45</v>
      </c>
      <c r="F355" t="s">
        <v>3</v>
      </c>
      <c r="G355" t="str">
        <f>HYPERLINK("https://twitter.com/GL6CQGePf8ficEN/status/2027817490642788806")</f>
        <v>https://twitter.com/GL6CQGePf8ficEN/status/2027817490642788806</v>
      </c>
      <c r="H355" t="s">
        <v>28</v>
      </c>
      <c r="I355" t="s">
        <v>1122</v>
      </c>
      <c r="J355" t="s">
        <v>1123</v>
      </c>
      <c r="K355" t="str">
        <f>HYPERLINK("http://twitter.com/GL6CQGePf8ficEN")</f>
        <v>http://twitter.com/GL6CQGePf8ficEN</v>
      </c>
      <c r="L355">
        <v>77</v>
      </c>
      <c r="N355" t="s">
        <v>278</v>
      </c>
      <c r="R355" t="s">
        <v>32</v>
      </c>
      <c r="S355" t="s">
        <v>33</v>
      </c>
      <c r="T355" t="s">
        <v>199</v>
      </c>
    </row>
    <row r="356" spans="1:22" ht="16">
      <c r="A356" t="s">
        <v>973</v>
      </c>
      <c r="B356" t="s">
        <v>1124</v>
      </c>
      <c r="C356" t="s">
        <v>72</v>
      </c>
      <c r="D356" t="s">
        <v>1125</v>
      </c>
      <c r="E356" t="s">
        <v>74</v>
      </c>
      <c r="F356" t="s">
        <v>3</v>
      </c>
      <c r="G356" t="str">
        <f>HYPERLINK("https://www.facebook.com/antonov.vs/posts/pfbid02aAhLm3RqwbmJgZcGx7n5tRbgsGDqyWNNkkWjPCPwUygpH1fanyzYZ2q7pPXhu8FBl?comment_id=1612554230065198")</f>
        <v>https://www.facebook.com/antonov.vs/posts/pfbid02aAhLm3RqwbmJgZcGx7n5tRbgsGDqyWNNkkWjPCPwUygpH1fanyzYZ2q7pPXhu8FBl?comment_id=1612554230065198</v>
      </c>
      <c r="H356" t="s">
        <v>28</v>
      </c>
      <c r="I356" t="s">
        <v>1126</v>
      </c>
      <c r="K356" t="str">
        <f>HYPERLINK("https://www.facebook.com/100010475101269")</f>
        <v>https://www.facebook.com/100010475101269</v>
      </c>
      <c r="L356">
        <v>66</v>
      </c>
      <c r="M356" t="s">
        <v>30</v>
      </c>
      <c r="N356" t="s">
        <v>31</v>
      </c>
      <c r="O356" t="s">
        <v>1127</v>
      </c>
      <c r="P356" t="str">
        <f>HYPERLINK("https://www.facebook.com/100002292546539")</f>
        <v>https://www.facebook.com/100002292546539</v>
      </c>
      <c r="Q356">
        <v>485</v>
      </c>
      <c r="R356" t="s">
        <v>32</v>
      </c>
      <c r="S356" t="s">
        <v>33</v>
      </c>
      <c r="T356" t="s">
        <v>34</v>
      </c>
      <c r="U356" t="s">
        <v>384</v>
      </c>
      <c r="V356" t="s">
        <v>500</v>
      </c>
    </row>
    <row r="357" spans="1:22" ht="16">
      <c r="A357" t="s">
        <v>973</v>
      </c>
      <c r="B357" t="s">
        <v>1128</v>
      </c>
      <c r="C357" t="s">
        <v>24</v>
      </c>
      <c r="D357" t="s">
        <v>1129</v>
      </c>
      <c r="E357" t="s">
        <v>101</v>
      </c>
      <c r="F357" t="s">
        <v>46</v>
      </c>
      <c r="G357" t="str">
        <f>HYPERLINK("https://www.facebook.com/4533150193675874")</f>
        <v>https://www.facebook.com/4533150193675874</v>
      </c>
      <c r="H357" t="s">
        <v>28</v>
      </c>
      <c r="I357" t="s">
        <v>1023</v>
      </c>
      <c r="J357" t="s">
        <v>1108</v>
      </c>
      <c r="K357" t="str">
        <f>HYPERLINK("https://www.facebook.com/100009428133435")</f>
        <v>https://www.facebook.com/100009428133435</v>
      </c>
      <c r="M357" t="s">
        <v>40</v>
      </c>
      <c r="N357" t="s">
        <v>31</v>
      </c>
      <c r="O357" t="s">
        <v>1023</v>
      </c>
      <c r="P357" t="str">
        <f>HYPERLINK("https://www.facebook.com/100009428133435")</f>
        <v>https://www.facebook.com/100009428133435</v>
      </c>
      <c r="R357" t="s">
        <v>32</v>
      </c>
      <c r="S357" t="s">
        <v>33</v>
      </c>
      <c r="T357" t="s">
        <v>34</v>
      </c>
      <c r="U357" t="s">
        <v>41</v>
      </c>
      <c r="V357" t="s">
        <v>42</v>
      </c>
    </row>
    <row r="358" spans="1:19" ht="16">
      <c r="A358" t="s">
        <v>973</v>
      </c>
      <c r="B358" t="s">
        <v>1130</v>
      </c>
      <c r="C358" t="s">
        <v>1131</v>
      </c>
      <c r="D358" t="s">
        <v>1132</v>
      </c>
      <c r="E358" t="s">
        <v>74</v>
      </c>
      <c r="F358" t="s">
        <v>3</v>
      </c>
      <c r="G358" t="str">
        <f>HYPERLINK("https://telegram.me/myko_info/31245?comment=21435")</f>
        <v>https://telegram.me/myko_info/31245?comment=21435</v>
      </c>
      <c r="H358" t="s">
        <v>28</v>
      </c>
      <c r="I358" t="s">
        <v>1133</v>
      </c>
      <c r="K358" t="str">
        <f>HYPERLINK("https://telegram.me/6231299763")</f>
        <v>https://telegram.me/6231299763</v>
      </c>
      <c r="M358" t="s">
        <v>30</v>
      </c>
      <c r="N358" t="s">
        <v>346</v>
      </c>
      <c r="O358" t="s">
        <v>1134</v>
      </c>
      <c r="P358" t="str">
        <f>HYPERLINK("https://telegram.me/myko_info")</f>
        <v>https://telegram.me/myko_info</v>
      </c>
      <c r="Q358">
        <v>192</v>
      </c>
      <c r="R358" t="s">
        <v>347</v>
      </c>
      <c r="S358" t="s">
        <v>33</v>
      </c>
    </row>
    <row r="359" spans="1:22" ht="16">
      <c r="A359" t="s">
        <v>973</v>
      </c>
      <c r="B359" t="s">
        <v>1135</v>
      </c>
      <c r="C359" t="s">
        <v>24</v>
      </c>
      <c r="D359" t="s">
        <v>238</v>
      </c>
      <c r="E359" t="s">
        <v>45</v>
      </c>
      <c r="F359" t="s">
        <v>3</v>
      </c>
      <c r="G359" t="str">
        <f>HYPERLINK("https://www.facebook.com/910054194966933")</f>
        <v>https://www.facebook.com/910054194966933</v>
      </c>
      <c r="H359" t="s">
        <v>28</v>
      </c>
      <c r="I359" t="s">
        <v>1136</v>
      </c>
      <c r="K359" t="str">
        <f>HYPERLINK("https://www.facebook.com/100078870826897")</f>
        <v>https://www.facebook.com/100078870826897</v>
      </c>
      <c r="M359" t="s">
        <v>40</v>
      </c>
      <c r="N359" t="s">
        <v>31</v>
      </c>
      <c r="O359" t="s">
        <v>1136</v>
      </c>
      <c r="P359" t="str">
        <f>HYPERLINK("https://www.facebook.com/100078870826897")</f>
        <v>https://www.facebook.com/100078870826897</v>
      </c>
      <c r="R359" t="s">
        <v>32</v>
      </c>
      <c r="S359" t="s">
        <v>33</v>
      </c>
      <c r="T359" t="s">
        <v>34</v>
      </c>
      <c r="U359" t="s">
        <v>371</v>
      </c>
      <c r="V359" t="s">
        <v>1137</v>
      </c>
    </row>
    <row r="360" spans="1:20" ht="16">
      <c r="A360" t="s">
        <v>973</v>
      </c>
      <c r="B360" t="s">
        <v>1138</v>
      </c>
      <c r="C360" t="s">
        <v>24</v>
      </c>
      <c r="D360" t="s">
        <v>275</v>
      </c>
      <c r="E360" t="s">
        <v>45</v>
      </c>
      <c r="F360" t="s">
        <v>3</v>
      </c>
      <c r="G360" t="str">
        <f>HYPERLINK("https://twitter.com/lusitaevans/status/2027814481749762083")</f>
        <v>https://twitter.com/lusitaevans/status/2027814481749762083</v>
      </c>
      <c r="H360" t="s">
        <v>28</v>
      </c>
      <c r="I360" t="s">
        <v>1139</v>
      </c>
      <c r="J360" t="s">
        <v>1140</v>
      </c>
      <c r="K360" t="str">
        <f>HYPERLINK("http://twitter.com/lusitaevans")</f>
        <v>http://twitter.com/lusitaevans</v>
      </c>
      <c r="L360">
        <v>49</v>
      </c>
      <c r="M360" t="s">
        <v>30</v>
      </c>
      <c r="N360" t="s">
        <v>278</v>
      </c>
      <c r="R360" t="s">
        <v>32</v>
      </c>
      <c r="S360" t="s">
        <v>33</v>
      </c>
      <c r="T360" t="s">
        <v>34</v>
      </c>
    </row>
    <row r="361" spans="1:22" ht="16">
      <c r="A361" t="s">
        <v>973</v>
      </c>
      <c r="B361" t="s">
        <v>1141</v>
      </c>
      <c r="C361" t="s">
        <v>1142</v>
      </c>
      <c r="D361" t="s">
        <v>1143</v>
      </c>
      <c r="E361" t="s">
        <v>74</v>
      </c>
      <c r="F361" t="s">
        <v>3</v>
      </c>
      <c r="G361" t="str">
        <f>HYPERLINK("https://www.facebook.com/permalink.php?story_fbid=pfbid02g3sKCwagL7ghmjA5XuYop6T5xzA3Z8pfaTcruLJZA6ZRn76frFfzu41j7596aKPZl&amp;id=100090843379637&amp;comment_id=2276015686221894")</f>
        <v>https://www.facebook.com/permalink.php?story_fbid=pfbid02g3sKCwagL7ghmjA5XuYop6T5xzA3Z8pfaTcruLJZA6ZRn76frFfzu41j7596aKPZl&amp;id=100090843379637&amp;comment_id=2276015686221894</v>
      </c>
      <c r="H361" t="s">
        <v>28</v>
      </c>
      <c r="I361" t="s">
        <v>1144</v>
      </c>
      <c r="J361" t="s">
        <v>1145</v>
      </c>
      <c r="K361" t="str">
        <f>HYPERLINK("https://www.facebook.com/100033929691968")</f>
        <v>https://www.facebook.com/100033929691968</v>
      </c>
      <c r="M361" t="s">
        <v>40</v>
      </c>
      <c r="N361" t="s">
        <v>31</v>
      </c>
      <c r="O361" t="s">
        <v>876</v>
      </c>
      <c r="P361" t="str">
        <f>HYPERLINK("https://www.facebook.com/100090843379637")</f>
        <v>https://www.facebook.com/100090843379637</v>
      </c>
      <c r="R361" t="s">
        <v>32</v>
      </c>
      <c r="S361" t="s">
        <v>33</v>
      </c>
      <c r="T361" t="s">
        <v>34</v>
      </c>
      <c r="U361" t="s">
        <v>384</v>
      </c>
      <c r="V361" t="s">
        <v>500</v>
      </c>
    </row>
    <row r="362" spans="1:20" ht="16">
      <c r="A362" t="s">
        <v>973</v>
      </c>
      <c r="B362" t="s">
        <v>201</v>
      </c>
      <c r="C362" t="s">
        <v>24</v>
      </c>
      <c r="D362" t="s">
        <v>275</v>
      </c>
      <c r="E362" t="s">
        <v>45</v>
      </c>
      <c r="F362" t="s">
        <v>3</v>
      </c>
      <c r="G362" t="str">
        <f>HYPERLINK("https://twitter.com/Hawk71Hawk/status/2027813191384805551")</f>
        <v>https://twitter.com/Hawk71Hawk/status/2027813191384805551</v>
      </c>
      <c r="H362" t="s">
        <v>28</v>
      </c>
      <c r="I362" t="s">
        <v>1146</v>
      </c>
      <c r="J362" t="s">
        <v>1147</v>
      </c>
      <c r="K362" t="str">
        <f>HYPERLINK("http://twitter.com/Hawk71Hawk")</f>
        <v>http://twitter.com/Hawk71Hawk</v>
      </c>
      <c r="L362">
        <v>1949</v>
      </c>
      <c r="N362" t="s">
        <v>278</v>
      </c>
      <c r="R362" t="s">
        <v>32</v>
      </c>
      <c r="S362" t="s">
        <v>33</v>
      </c>
      <c r="T362" t="s">
        <v>34</v>
      </c>
    </row>
    <row r="363" spans="1:20" ht="16">
      <c r="A363" t="s">
        <v>973</v>
      </c>
      <c r="B363" t="s">
        <v>1148</v>
      </c>
      <c r="C363" t="s">
        <v>24</v>
      </c>
      <c r="D363" t="s">
        <v>275</v>
      </c>
      <c r="E363" t="s">
        <v>45</v>
      </c>
      <c r="F363" t="s">
        <v>3</v>
      </c>
      <c r="G363" t="str">
        <f>HYPERLINK("https://twitter.com/tetiana_kram/status/2027813043040882815")</f>
        <v>https://twitter.com/tetiana_kram/status/2027813043040882815</v>
      </c>
      <c r="H363" t="s">
        <v>28</v>
      </c>
      <c r="I363" t="s">
        <v>1149</v>
      </c>
      <c r="J363" t="s">
        <v>1150</v>
      </c>
      <c r="K363" t="str">
        <f>HYPERLINK("http://twitter.com/tetiana_kram")</f>
        <v>http://twitter.com/tetiana_kram</v>
      </c>
      <c r="L363">
        <v>2293</v>
      </c>
      <c r="M363" t="s">
        <v>30</v>
      </c>
      <c r="N363" t="s">
        <v>278</v>
      </c>
      <c r="R363" t="s">
        <v>32</v>
      </c>
      <c r="S363" t="s">
        <v>33</v>
      </c>
      <c r="T363" t="s">
        <v>86</v>
      </c>
    </row>
    <row r="364" spans="1:19" ht="16">
      <c r="A364" t="s">
        <v>973</v>
      </c>
      <c r="B364" t="s">
        <v>1148</v>
      </c>
      <c r="C364" t="s">
        <v>1142</v>
      </c>
      <c r="D364" t="s">
        <v>1151</v>
      </c>
      <c r="E364" t="s">
        <v>74</v>
      </c>
      <c r="F364" t="s">
        <v>3</v>
      </c>
      <c r="G364" t="str">
        <f>HYPERLINK("https://www.facebook.com/permalink.php?story_fbid=pfbid02g3sKCwagL7ghmjA5XuYop6T5xzA3Z8pfaTcruLJZA6ZRn76frFfzu41j7596aKPZl&amp;id=100090843379637&amp;comment_id=907492621994567")</f>
        <v>https://www.facebook.com/permalink.php?story_fbid=pfbid02g3sKCwagL7ghmjA5XuYop6T5xzA3Z8pfaTcruLJZA6ZRn76frFfzu41j7596aKPZl&amp;id=100090843379637&amp;comment_id=907492621994567</v>
      </c>
      <c r="H364" t="s">
        <v>28</v>
      </c>
      <c r="I364" t="s">
        <v>1152</v>
      </c>
      <c r="K364" t="str">
        <f>HYPERLINK("https://www.facebook.com/100034032976897")</f>
        <v>https://www.facebook.com/100034032976897</v>
      </c>
      <c r="M364" t="s">
        <v>30</v>
      </c>
      <c r="N364" t="s">
        <v>31</v>
      </c>
      <c r="O364" t="s">
        <v>876</v>
      </c>
      <c r="P364" t="str">
        <f>HYPERLINK("https://www.facebook.com/100090843379637")</f>
        <v>https://www.facebook.com/100090843379637</v>
      </c>
      <c r="R364" t="s">
        <v>32</v>
      </c>
      <c r="S364" t="s">
        <v>85</v>
      </c>
    </row>
    <row r="365" spans="1:19" ht="16">
      <c r="A365" t="s">
        <v>973</v>
      </c>
      <c r="B365" t="s">
        <v>1153</v>
      </c>
      <c r="C365" t="s">
        <v>24</v>
      </c>
      <c r="D365" t="s">
        <v>130</v>
      </c>
      <c r="E365" t="s">
        <v>45</v>
      </c>
      <c r="F365" t="s">
        <v>102</v>
      </c>
      <c r="G365" t="str">
        <f>HYPERLINK("https://www.facebook.com/1603314690812948")</f>
        <v>https://www.facebook.com/1603314690812948</v>
      </c>
      <c r="H365" t="s">
        <v>28</v>
      </c>
      <c r="I365" t="s">
        <v>1152</v>
      </c>
      <c r="K365" t="str">
        <f>HYPERLINK("https://www.facebook.com/100034032976897")</f>
        <v>https://www.facebook.com/100034032976897</v>
      </c>
      <c r="M365" t="s">
        <v>30</v>
      </c>
      <c r="N365" t="s">
        <v>31</v>
      </c>
      <c r="O365" t="s">
        <v>1152</v>
      </c>
      <c r="P365" t="str">
        <f>HYPERLINK("https://www.facebook.com/100034032976897")</f>
        <v>https://www.facebook.com/100034032976897</v>
      </c>
      <c r="R365" t="s">
        <v>32</v>
      </c>
      <c r="S365" t="s">
        <v>33</v>
      </c>
    </row>
    <row r="366" spans="1:19" ht="16">
      <c r="A366" t="s">
        <v>973</v>
      </c>
      <c r="B366" t="s">
        <v>1153</v>
      </c>
      <c r="C366" t="s">
        <v>1142</v>
      </c>
      <c r="D366" t="s">
        <v>1154</v>
      </c>
      <c r="E366" t="s">
        <v>74</v>
      </c>
      <c r="F366" t="s">
        <v>3</v>
      </c>
      <c r="G366" t="str">
        <f>HYPERLINK("https://www.facebook.com/permalink.php?story_fbid=pfbid02g3sKCwagL7ghmjA5XuYop6T5xzA3Z8pfaTcruLJZA6ZRn76frFfzu41j7596aKPZl&amp;id=100090843379637&amp;comment_id=945617351480840")</f>
        <v>https://www.facebook.com/permalink.php?story_fbid=pfbid02g3sKCwagL7ghmjA5XuYop6T5xzA3Z8pfaTcruLJZA6ZRn76frFfzu41j7596aKPZl&amp;id=100090843379637&amp;comment_id=945617351480840</v>
      </c>
      <c r="H366" t="s">
        <v>28</v>
      </c>
      <c r="I366" t="s">
        <v>1152</v>
      </c>
      <c r="K366" t="str">
        <f>HYPERLINK("https://www.facebook.com/100034032976897")</f>
        <v>https://www.facebook.com/100034032976897</v>
      </c>
      <c r="M366" t="s">
        <v>30</v>
      </c>
      <c r="N366" t="s">
        <v>31</v>
      </c>
      <c r="O366" t="s">
        <v>876</v>
      </c>
      <c r="P366" t="str">
        <f>HYPERLINK("https://www.facebook.com/100090843379637")</f>
        <v>https://www.facebook.com/100090843379637</v>
      </c>
      <c r="R366" t="s">
        <v>32</v>
      </c>
      <c r="S366" t="s">
        <v>33</v>
      </c>
    </row>
    <row r="367" spans="1:21" ht="16">
      <c r="A367" t="s">
        <v>973</v>
      </c>
      <c r="B367" t="s">
        <v>1155</v>
      </c>
      <c r="C367" t="s">
        <v>24</v>
      </c>
      <c r="D367" t="s">
        <v>130</v>
      </c>
      <c r="E367" t="s">
        <v>45</v>
      </c>
      <c r="F367" t="s">
        <v>102</v>
      </c>
      <c r="G367" t="str">
        <f>HYPERLINK("https://www.facebook.com/878056945232410")</f>
        <v>https://www.facebook.com/878056945232410</v>
      </c>
      <c r="H367" t="s">
        <v>28</v>
      </c>
      <c r="I367" t="s">
        <v>876</v>
      </c>
      <c r="K367" t="str">
        <f>HYPERLINK("https://www.facebook.com/100090843379637")</f>
        <v>https://www.facebook.com/100090843379637</v>
      </c>
      <c r="M367" t="s">
        <v>40</v>
      </c>
      <c r="N367" t="s">
        <v>31</v>
      </c>
      <c r="O367" t="s">
        <v>876</v>
      </c>
      <c r="P367" t="str">
        <f>HYPERLINK("https://www.facebook.com/100090843379637")</f>
        <v>https://www.facebook.com/100090843379637</v>
      </c>
      <c r="R367" t="s">
        <v>32</v>
      </c>
      <c r="S367" t="s">
        <v>33</v>
      </c>
      <c r="T367" t="s">
        <v>34</v>
      </c>
      <c r="U367" t="s">
        <v>309</v>
      </c>
    </row>
    <row r="368" spans="1:20" ht="16">
      <c r="A368" t="s">
        <v>973</v>
      </c>
      <c r="B368" t="s">
        <v>1156</v>
      </c>
      <c r="C368" t="s">
        <v>24</v>
      </c>
      <c r="D368" t="s">
        <v>275</v>
      </c>
      <c r="E368" t="s">
        <v>45</v>
      </c>
      <c r="F368" t="s">
        <v>3</v>
      </c>
      <c r="G368" t="str">
        <f>HYPERLINK("https://twitter.com/bdy0771/status/2027809600024547701")</f>
        <v>https://twitter.com/bdy0771/status/2027809600024547701</v>
      </c>
      <c r="H368" t="s">
        <v>28</v>
      </c>
      <c r="I368" t="s">
        <v>1157</v>
      </c>
      <c r="J368" t="s">
        <v>1158</v>
      </c>
      <c r="K368" t="str">
        <f>HYPERLINK("http://twitter.com/bdy0771")</f>
        <v>http://twitter.com/bdy0771</v>
      </c>
      <c r="L368">
        <v>1154</v>
      </c>
      <c r="N368" t="s">
        <v>278</v>
      </c>
      <c r="R368" t="s">
        <v>32</v>
      </c>
      <c r="S368" t="s">
        <v>33</v>
      </c>
      <c r="T368" t="s">
        <v>34</v>
      </c>
    </row>
    <row r="369" spans="1:20" ht="16">
      <c r="A369" t="s">
        <v>973</v>
      </c>
      <c r="B369" t="s">
        <v>1159</v>
      </c>
      <c r="C369" t="s">
        <v>24</v>
      </c>
      <c r="D369" t="s">
        <v>275</v>
      </c>
      <c r="E369" t="s">
        <v>45</v>
      </c>
      <c r="F369" t="s">
        <v>3</v>
      </c>
      <c r="G369" t="str">
        <f>HYPERLINK("https://twitter.com/shatov221/status/2027807129533301055")</f>
        <v>https://twitter.com/shatov221/status/2027807129533301055</v>
      </c>
      <c r="H369" t="s">
        <v>28</v>
      </c>
      <c r="I369" t="s">
        <v>1160</v>
      </c>
      <c r="J369" t="s">
        <v>1161</v>
      </c>
      <c r="K369" t="str">
        <f>HYPERLINK("http://twitter.com/shatov221")</f>
        <v>http://twitter.com/shatov221</v>
      </c>
      <c r="L369">
        <v>6</v>
      </c>
      <c r="M369" t="s">
        <v>40</v>
      </c>
      <c r="N369" t="s">
        <v>278</v>
      </c>
      <c r="R369" t="s">
        <v>32</v>
      </c>
      <c r="S369" t="s">
        <v>33</v>
      </c>
      <c r="T369" t="s">
        <v>34</v>
      </c>
    </row>
    <row r="370" spans="1:19" ht="16">
      <c r="A370" t="s">
        <v>973</v>
      </c>
      <c r="B370" t="s">
        <v>1162</v>
      </c>
      <c r="C370" t="s">
        <v>24</v>
      </c>
      <c r="D370" t="s">
        <v>238</v>
      </c>
      <c r="E370" t="s">
        <v>45</v>
      </c>
      <c r="F370" t="s">
        <v>3</v>
      </c>
      <c r="G370" t="str">
        <f>HYPERLINK("https://www.facebook.com/1858975321466833")</f>
        <v>https://www.facebook.com/1858975321466833</v>
      </c>
      <c r="H370" t="s">
        <v>28</v>
      </c>
      <c r="I370" t="s">
        <v>1163</v>
      </c>
      <c r="K370" t="str">
        <f>HYPERLINK("https://www.facebook.com/100020631500526")</f>
        <v>https://www.facebook.com/100020631500526</v>
      </c>
      <c r="M370" t="s">
        <v>40</v>
      </c>
      <c r="N370" t="s">
        <v>31</v>
      </c>
      <c r="O370" t="s">
        <v>1163</v>
      </c>
      <c r="P370" t="str">
        <f>HYPERLINK("https://www.facebook.com/100020631500526")</f>
        <v>https://www.facebook.com/100020631500526</v>
      </c>
      <c r="R370" t="s">
        <v>32</v>
      </c>
      <c r="S370" t="s">
        <v>33</v>
      </c>
    </row>
    <row r="371" spans="1:20" ht="16">
      <c r="A371" t="s">
        <v>973</v>
      </c>
      <c r="B371" t="s">
        <v>1162</v>
      </c>
      <c r="C371" t="s">
        <v>24</v>
      </c>
      <c r="D371" t="s">
        <v>275</v>
      </c>
      <c r="E371" t="s">
        <v>45</v>
      </c>
      <c r="F371" t="s">
        <v>3</v>
      </c>
      <c r="G371" t="str">
        <f>HYPERLINK("https://twitter.com/olegiv08avg/status/2027806508981928249")</f>
        <v>https://twitter.com/olegiv08avg/status/2027806508981928249</v>
      </c>
      <c r="H371" t="s">
        <v>28</v>
      </c>
      <c r="I371" t="s">
        <v>1164</v>
      </c>
      <c r="J371" t="s">
        <v>1165</v>
      </c>
      <c r="K371" t="str">
        <f>HYPERLINK("http://twitter.com/olegiv08avg")</f>
        <v>http://twitter.com/olegiv08avg</v>
      </c>
      <c r="L371">
        <v>38</v>
      </c>
      <c r="M371" t="s">
        <v>40</v>
      </c>
      <c r="N371" t="s">
        <v>278</v>
      </c>
      <c r="R371" t="s">
        <v>32</v>
      </c>
      <c r="S371" t="s">
        <v>33</v>
      </c>
      <c r="T371" t="s">
        <v>34</v>
      </c>
    </row>
    <row r="372" spans="1:20" ht="16">
      <c r="A372" t="s">
        <v>973</v>
      </c>
      <c r="B372" t="s">
        <v>1166</v>
      </c>
      <c r="C372" t="s">
        <v>1167</v>
      </c>
      <c r="D372" t="s">
        <v>1168</v>
      </c>
      <c r="E372" t="s">
        <v>26</v>
      </c>
      <c r="F372" t="s">
        <v>3</v>
      </c>
      <c r="G372" t="str">
        <f>HYPERLINK("https://morkovka.org/archives/209355")</f>
        <v>https://morkovka.org/archives/209355</v>
      </c>
      <c r="H372" t="s">
        <v>28</v>
      </c>
      <c r="N372" t="s">
        <v>1169</v>
      </c>
      <c r="R372" t="s">
        <v>1170</v>
      </c>
      <c r="S372" t="s">
        <v>33</v>
      </c>
      <c r="T372" t="s">
        <v>34</v>
      </c>
    </row>
    <row r="373" spans="1:22" ht="16">
      <c r="A373" t="s">
        <v>973</v>
      </c>
      <c r="B373" t="s">
        <v>1171</v>
      </c>
      <c r="C373" t="s">
        <v>24</v>
      </c>
      <c r="D373" t="s">
        <v>1172</v>
      </c>
      <c r="E373" t="s">
        <v>26</v>
      </c>
      <c r="F373" t="s">
        <v>27</v>
      </c>
      <c r="G373" t="str">
        <f>HYPERLINK("https://www.facebook.com/1948447385798915")</f>
        <v>https://www.facebook.com/1948447385798915</v>
      </c>
      <c r="H373" t="s">
        <v>28</v>
      </c>
      <c r="I373" t="s">
        <v>1173</v>
      </c>
      <c r="K373" t="str">
        <f>HYPERLINK("https://www.facebook.com/100019010176858")</f>
        <v>https://www.facebook.com/100019010176858</v>
      </c>
      <c r="M373" t="s">
        <v>30</v>
      </c>
      <c r="N373" t="s">
        <v>31</v>
      </c>
      <c r="O373" t="s">
        <v>1173</v>
      </c>
      <c r="P373" t="str">
        <f>HYPERLINK("https://www.facebook.com/100019010176858")</f>
        <v>https://www.facebook.com/100019010176858</v>
      </c>
      <c r="R373" t="s">
        <v>32</v>
      </c>
      <c r="S373" t="s">
        <v>33</v>
      </c>
      <c r="T373" t="s">
        <v>1174</v>
      </c>
      <c r="U373" t="s">
        <v>1175</v>
      </c>
      <c r="V373" t="s">
        <v>1176</v>
      </c>
    </row>
    <row r="374" spans="1:20" ht="16">
      <c r="A374" t="s">
        <v>973</v>
      </c>
      <c r="B374" t="s">
        <v>1177</v>
      </c>
      <c r="C374" t="s">
        <v>1167</v>
      </c>
      <c r="D374" t="s">
        <v>1168</v>
      </c>
      <c r="E374" t="s">
        <v>26</v>
      </c>
      <c r="F374" t="s">
        <v>342</v>
      </c>
      <c r="G374" t="str">
        <f>HYPERLINK("https://nenka.info/donka-mera-ternopolya-sergiya-nadala-prydbala-neruhomist-u-ssha-majzhe-za-2-mln-dolariv/")</f>
        <v>https://nenka.info/donka-mera-ternopolya-sergiya-nadala-prydbala-neruhomist-u-ssha-majzhe-za-2-mln-dolariv/</v>
      </c>
      <c r="H374" t="s">
        <v>28</v>
      </c>
      <c r="N374" t="s">
        <v>1178</v>
      </c>
      <c r="R374" t="s">
        <v>1170</v>
      </c>
      <c r="S374" t="s">
        <v>33</v>
      </c>
      <c r="T374" t="s">
        <v>34</v>
      </c>
    </row>
    <row r="375" spans="1:20" ht="16">
      <c r="A375" t="s">
        <v>973</v>
      </c>
      <c r="B375" t="s">
        <v>1177</v>
      </c>
      <c r="C375" t="s">
        <v>24</v>
      </c>
      <c r="D375" t="s">
        <v>275</v>
      </c>
      <c r="E375" t="s">
        <v>45</v>
      </c>
      <c r="F375" t="s">
        <v>3</v>
      </c>
      <c r="G375" t="str">
        <f>HYPERLINK("https://twitter.com/MGK0501/status/2027803512512389544")</f>
        <v>https://twitter.com/MGK0501/status/2027803512512389544</v>
      </c>
      <c r="H375" t="s">
        <v>28</v>
      </c>
      <c r="I375" t="s">
        <v>1179</v>
      </c>
      <c r="J375" t="s">
        <v>1180</v>
      </c>
      <c r="K375" t="str">
        <f>HYPERLINK("http://twitter.com/MGK0501")</f>
        <v>http://twitter.com/MGK0501</v>
      </c>
      <c r="L375">
        <v>529</v>
      </c>
      <c r="M375" t="s">
        <v>40</v>
      </c>
      <c r="N375" t="s">
        <v>278</v>
      </c>
      <c r="R375" t="s">
        <v>32</v>
      </c>
      <c r="S375" t="s">
        <v>33</v>
      </c>
      <c r="T375" t="s">
        <v>192</v>
      </c>
    </row>
    <row r="376" spans="1:19" ht="16">
      <c r="A376" t="s">
        <v>973</v>
      </c>
      <c r="B376" t="s">
        <v>1181</v>
      </c>
      <c r="C376" t="s">
        <v>1182</v>
      </c>
      <c r="D376" t="s">
        <v>1183</v>
      </c>
      <c r="E376" t="s">
        <v>74</v>
      </c>
      <c r="F376" t="s">
        <v>3</v>
      </c>
      <c r="G376" t="str">
        <f>HYPERLINK("https://telegram.me/OrdenDidaMike/956755")</f>
        <v>https://telegram.me/OrdenDidaMike/956755</v>
      </c>
      <c r="H376" t="s">
        <v>28</v>
      </c>
      <c r="I376" t="s">
        <v>1184</v>
      </c>
      <c r="J376" t="s">
        <v>1185</v>
      </c>
      <c r="K376" t="str">
        <f>HYPERLINK("https://telegram.me/chiisato_nishikigi")</f>
        <v>https://telegram.me/chiisato_nishikigi</v>
      </c>
      <c r="N376" t="s">
        <v>346</v>
      </c>
      <c r="O376" t="s">
        <v>1186</v>
      </c>
      <c r="P376" t="str">
        <f>HYPERLINK("https://telegram.me/ordendidamike")</f>
        <v>https://telegram.me/ordendidamike</v>
      </c>
      <c r="Q376">
        <v>65</v>
      </c>
      <c r="R376" t="s">
        <v>347</v>
      </c>
      <c r="S376" t="s">
        <v>85</v>
      </c>
    </row>
    <row r="377" spans="1:19" ht="16">
      <c r="A377" t="s">
        <v>973</v>
      </c>
      <c r="B377" t="s">
        <v>1181</v>
      </c>
      <c r="C377" t="s">
        <v>1182</v>
      </c>
      <c r="D377" t="s">
        <v>1187</v>
      </c>
      <c r="E377" t="s">
        <v>74</v>
      </c>
      <c r="F377" t="s">
        <v>3</v>
      </c>
      <c r="G377" t="str">
        <f>HYPERLINK("https://telegram.me/OrdenDidaMike/956754")</f>
        <v>https://telegram.me/OrdenDidaMike/956754</v>
      </c>
      <c r="H377" t="s">
        <v>28</v>
      </c>
      <c r="I377" t="s">
        <v>1188</v>
      </c>
      <c r="J377" t="s">
        <v>1189</v>
      </c>
      <c r="K377" t="str">
        <f>HYPERLINK("https://telegram.me/shiosan")</f>
        <v>https://telegram.me/shiosan</v>
      </c>
      <c r="M377" t="s">
        <v>30</v>
      </c>
      <c r="N377" t="s">
        <v>346</v>
      </c>
      <c r="O377" t="s">
        <v>1186</v>
      </c>
      <c r="P377" t="str">
        <f>HYPERLINK("https://telegram.me/ordendidamike")</f>
        <v>https://telegram.me/ordendidamike</v>
      </c>
      <c r="Q377">
        <v>65</v>
      </c>
      <c r="R377" t="s">
        <v>347</v>
      </c>
      <c r="S377" t="s">
        <v>33</v>
      </c>
    </row>
    <row r="378" spans="1:19" ht="16">
      <c r="A378" t="s">
        <v>973</v>
      </c>
      <c r="B378" t="s">
        <v>1190</v>
      </c>
      <c r="C378" t="s">
        <v>24</v>
      </c>
      <c r="D378" t="s">
        <v>49</v>
      </c>
      <c r="E378" t="s">
        <v>45</v>
      </c>
      <c r="F378" t="s">
        <v>342</v>
      </c>
      <c r="G378" t="str">
        <f>HYPERLINK("https://telegram.me/OrdenDidaMike/956748")</f>
        <v>https://telegram.me/OrdenDidaMike/956748</v>
      </c>
      <c r="H378" t="s">
        <v>28</v>
      </c>
      <c r="I378" t="s">
        <v>1191</v>
      </c>
      <c r="J378" t="s">
        <v>1192</v>
      </c>
      <c r="K378" t="str">
        <f>HYPERLINK("https://telegram.me/lezerman")</f>
        <v>https://telegram.me/lezerman</v>
      </c>
      <c r="N378" t="s">
        <v>346</v>
      </c>
      <c r="O378" t="s">
        <v>1186</v>
      </c>
      <c r="P378" t="str">
        <f>HYPERLINK("https://telegram.me/ordendidamike")</f>
        <v>https://telegram.me/ordendidamike</v>
      </c>
      <c r="Q378">
        <v>65</v>
      </c>
      <c r="R378" t="s">
        <v>347</v>
      </c>
      <c r="S378" t="s">
        <v>33</v>
      </c>
    </row>
    <row r="379" spans="1:20" ht="16">
      <c r="A379" t="s">
        <v>973</v>
      </c>
      <c r="B379" t="s">
        <v>1193</v>
      </c>
      <c r="C379" t="s">
        <v>24</v>
      </c>
      <c r="D379" t="s">
        <v>275</v>
      </c>
      <c r="E379" t="s">
        <v>45</v>
      </c>
      <c r="F379" t="s">
        <v>3</v>
      </c>
      <c r="G379" t="str">
        <f>HYPERLINK("https://twitter.com/danlg71/status/2027799952056058173")</f>
        <v>https://twitter.com/danlg71/status/2027799952056058173</v>
      </c>
      <c r="H379" t="s">
        <v>28</v>
      </c>
      <c r="I379" t="s">
        <v>1194</v>
      </c>
      <c r="J379" t="s">
        <v>1195</v>
      </c>
      <c r="K379" t="str">
        <f>HYPERLINK("http://twitter.com/danlg71")</f>
        <v>http://twitter.com/danlg71</v>
      </c>
      <c r="L379">
        <v>106</v>
      </c>
      <c r="M379" t="s">
        <v>30</v>
      </c>
      <c r="N379" t="s">
        <v>278</v>
      </c>
      <c r="R379" t="s">
        <v>32</v>
      </c>
      <c r="S379" t="s">
        <v>33</v>
      </c>
      <c r="T379" t="s">
        <v>34</v>
      </c>
    </row>
    <row r="380" spans="1:20" ht="16">
      <c r="A380" t="s">
        <v>973</v>
      </c>
      <c r="B380" t="s">
        <v>1193</v>
      </c>
      <c r="C380" t="s">
        <v>24</v>
      </c>
      <c r="D380" t="s">
        <v>275</v>
      </c>
      <c r="E380" t="s">
        <v>45</v>
      </c>
      <c r="F380" t="s">
        <v>3</v>
      </c>
      <c r="G380" t="str">
        <f>HYPERLINK("https://twitter.com/Drakokus/status/2027799758534778940")</f>
        <v>https://twitter.com/Drakokus/status/2027799758534778940</v>
      </c>
      <c r="H380" t="s">
        <v>28</v>
      </c>
      <c r="I380" t="s">
        <v>1196</v>
      </c>
      <c r="J380" t="s">
        <v>1197</v>
      </c>
      <c r="K380" t="str">
        <f>HYPERLINK("http://twitter.com/Drakokus")</f>
        <v>http://twitter.com/Drakokus</v>
      </c>
      <c r="L380">
        <v>19</v>
      </c>
      <c r="N380" t="s">
        <v>278</v>
      </c>
      <c r="R380" t="s">
        <v>32</v>
      </c>
      <c r="S380" t="s">
        <v>33</v>
      </c>
      <c r="T380" t="s">
        <v>34</v>
      </c>
    </row>
    <row r="381" spans="1:19" ht="16">
      <c r="A381" t="s">
        <v>973</v>
      </c>
      <c r="B381" t="s">
        <v>1198</v>
      </c>
      <c r="C381" t="s">
        <v>24</v>
      </c>
      <c r="D381" t="s">
        <v>238</v>
      </c>
      <c r="E381" t="s">
        <v>45</v>
      </c>
      <c r="F381" t="s">
        <v>3</v>
      </c>
      <c r="G381" t="str">
        <f>HYPERLINK("https://www.facebook.com/2739849383036312")</f>
        <v>https://www.facebook.com/2739849383036312</v>
      </c>
      <c r="H381" t="s">
        <v>28</v>
      </c>
      <c r="I381" t="s">
        <v>1199</v>
      </c>
      <c r="K381" t="str">
        <f>HYPERLINK("https://www.facebook.com/100010338313874")</f>
        <v>https://www.facebook.com/100010338313874</v>
      </c>
      <c r="M381" t="s">
        <v>30</v>
      </c>
      <c r="N381" t="s">
        <v>31</v>
      </c>
      <c r="O381" t="s">
        <v>1199</v>
      </c>
      <c r="P381" t="str">
        <f>HYPERLINK("https://www.facebook.com/100010338313874")</f>
        <v>https://www.facebook.com/100010338313874</v>
      </c>
      <c r="R381" t="s">
        <v>32</v>
      </c>
      <c r="S381" t="s">
        <v>33</v>
      </c>
    </row>
    <row r="382" spans="1:22" ht="16">
      <c r="A382" t="s">
        <v>973</v>
      </c>
      <c r="B382" t="s">
        <v>237</v>
      </c>
      <c r="C382" t="s">
        <v>24</v>
      </c>
      <c r="D382" t="s">
        <v>275</v>
      </c>
      <c r="E382" t="s">
        <v>45</v>
      </c>
      <c r="F382" t="s">
        <v>3</v>
      </c>
      <c r="G382" t="str">
        <f>HYPERLINK("https://twitter.com/BSNcPLbE2g6z3lA/status/2027798288246677844")</f>
        <v>https://twitter.com/BSNcPLbE2g6z3lA/status/2027798288246677844</v>
      </c>
      <c r="H382" t="s">
        <v>28</v>
      </c>
      <c r="I382" t="s">
        <v>1200</v>
      </c>
      <c r="J382" t="s">
        <v>1201</v>
      </c>
      <c r="K382" t="str">
        <f>HYPERLINK("http://twitter.com/BSNcPLbE2g6z3lA")</f>
        <v>http://twitter.com/BSNcPLbE2g6z3lA</v>
      </c>
      <c r="L382">
        <v>4485</v>
      </c>
      <c r="M382" t="s">
        <v>30</v>
      </c>
      <c r="N382" t="s">
        <v>278</v>
      </c>
      <c r="R382" t="s">
        <v>32</v>
      </c>
      <c r="S382" t="s">
        <v>33</v>
      </c>
      <c r="T382" t="s">
        <v>34</v>
      </c>
      <c r="U382" t="s">
        <v>58</v>
      </c>
      <c r="V382" t="s">
        <v>58</v>
      </c>
    </row>
    <row r="383" spans="1:22" ht="16">
      <c r="A383" t="s">
        <v>973</v>
      </c>
      <c r="B383" t="s">
        <v>1202</v>
      </c>
      <c r="C383" t="s">
        <v>24</v>
      </c>
      <c r="D383" t="s">
        <v>275</v>
      </c>
      <c r="E383" t="s">
        <v>45</v>
      </c>
      <c r="F383" t="s">
        <v>3</v>
      </c>
      <c r="G383" t="str">
        <f>HYPERLINK("https://twitter.com/ElenaKo72602415/status/2027796583425642606")</f>
        <v>https://twitter.com/ElenaKo72602415/status/2027796583425642606</v>
      </c>
      <c r="H383" t="s">
        <v>28</v>
      </c>
      <c r="I383" t="s">
        <v>1203</v>
      </c>
      <c r="J383" t="s">
        <v>1204</v>
      </c>
      <c r="K383" t="str">
        <f>HYPERLINK("http://twitter.com/ElenaKo72602415")</f>
        <v>http://twitter.com/ElenaKo72602415</v>
      </c>
      <c r="L383">
        <v>71</v>
      </c>
      <c r="M383" t="s">
        <v>30</v>
      </c>
      <c r="N383" t="s">
        <v>278</v>
      </c>
      <c r="R383" t="s">
        <v>32</v>
      </c>
      <c r="S383" t="s">
        <v>33</v>
      </c>
      <c r="T383" t="s">
        <v>34</v>
      </c>
      <c r="U383" t="s">
        <v>58</v>
      </c>
      <c r="V383" t="s">
        <v>58</v>
      </c>
    </row>
    <row r="384" spans="1:20" ht="16">
      <c r="A384" t="s">
        <v>973</v>
      </c>
      <c r="B384" t="s">
        <v>1205</v>
      </c>
      <c r="C384" t="s">
        <v>24</v>
      </c>
      <c r="D384" t="s">
        <v>275</v>
      </c>
      <c r="E384" t="s">
        <v>45</v>
      </c>
      <c r="F384" t="s">
        <v>3</v>
      </c>
      <c r="G384" t="str">
        <f>HYPERLINK("https://twitter.com/DSergio77/status/2027795870406651915")</f>
        <v>https://twitter.com/DSergio77/status/2027795870406651915</v>
      </c>
      <c r="H384" t="s">
        <v>28</v>
      </c>
      <c r="I384" t="s">
        <v>1206</v>
      </c>
      <c r="J384" t="s">
        <v>1207</v>
      </c>
      <c r="K384" t="str">
        <f>HYPERLINK("http://twitter.com/DSergio77")</f>
        <v>http://twitter.com/DSergio77</v>
      </c>
      <c r="L384">
        <v>72</v>
      </c>
      <c r="M384" t="s">
        <v>40</v>
      </c>
      <c r="N384" t="s">
        <v>278</v>
      </c>
      <c r="R384" t="s">
        <v>32</v>
      </c>
      <c r="S384" t="s">
        <v>33</v>
      </c>
      <c r="T384" t="s">
        <v>34</v>
      </c>
    </row>
    <row r="385" spans="1:20" ht="16">
      <c r="A385" t="s">
        <v>973</v>
      </c>
      <c r="B385" t="s">
        <v>1208</v>
      </c>
      <c r="C385" t="s">
        <v>24</v>
      </c>
      <c r="D385" t="s">
        <v>275</v>
      </c>
      <c r="E385" t="s">
        <v>45</v>
      </c>
      <c r="F385" t="s">
        <v>3</v>
      </c>
      <c r="G385" t="str">
        <f>HYPERLINK("https://twitter.com/VladimirSl3/status/2027794846182764873")</f>
        <v>https://twitter.com/VladimirSl3/status/2027794846182764873</v>
      </c>
      <c r="H385" t="s">
        <v>28</v>
      </c>
      <c r="I385" t="s">
        <v>1209</v>
      </c>
      <c r="J385" t="s">
        <v>1210</v>
      </c>
      <c r="K385" t="str">
        <f>HYPERLINK("http://twitter.com/VladimirSl3")</f>
        <v>http://twitter.com/VladimirSl3</v>
      </c>
      <c r="L385">
        <v>37</v>
      </c>
      <c r="M385" t="s">
        <v>40</v>
      </c>
      <c r="N385" t="s">
        <v>278</v>
      </c>
      <c r="R385" t="s">
        <v>32</v>
      </c>
      <c r="S385" t="s">
        <v>33</v>
      </c>
      <c r="T385" t="s">
        <v>34</v>
      </c>
    </row>
    <row r="386" spans="1:22" ht="16">
      <c r="A386" t="s">
        <v>973</v>
      </c>
      <c r="B386" t="s">
        <v>1211</v>
      </c>
      <c r="C386" t="s">
        <v>24</v>
      </c>
      <c r="D386" t="s">
        <v>1212</v>
      </c>
      <c r="E386" t="s">
        <v>45</v>
      </c>
      <c r="F386" t="s">
        <v>46</v>
      </c>
      <c r="G386" t="str">
        <f>HYPERLINK("https://www.facebook.com/1599574964613919")</f>
        <v>https://www.facebook.com/1599574964613919</v>
      </c>
      <c r="H386" t="s">
        <v>28</v>
      </c>
      <c r="I386" t="s">
        <v>1213</v>
      </c>
      <c r="J386" t="s">
        <v>1214</v>
      </c>
      <c r="K386" t="str">
        <f>HYPERLINK("https://www.facebook.com/100036842913219")</f>
        <v>https://www.facebook.com/100036842913219</v>
      </c>
      <c r="M386" t="s">
        <v>40</v>
      </c>
      <c r="N386" t="s">
        <v>31</v>
      </c>
      <c r="O386" t="s">
        <v>1213</v>
      </c>
      <c r="P386" t="str">
        <f>HYPERLINK("https://www.facebook.com/100036842913219")</f>
        <v>https://www.facebook.com/100036842913219</v>
      </c>
      <c r="R386" t="s">
        <v>32</v>
      </c>
      <c r="S386" t="s">
        <v>33</v>
      </c>
      <c r="T386" t="s">
        <v>34</v>
      </c>
      <c r="U386" t="s">
        <v>58</v>
      </c>
      <c r="V386" t="s">
        <v>58</v>
      </c>
    </row>
    <row r="387" spans="1:22" ht="16">
      <c r="A387" t="s">
        <v>973</v>
      </c>
      <c r="B387" t="s">
        <v>1215</v>
      </c>
      <c r="C387" t="s">
        <v>24</v>
      </c>
      <c r="D387" t="s">
        <v>275</v>
      </c>
      <c r="E387" t="s">
        <v>45</v>
      </c>
      <c r="F387" t="s">
        <v>3</v>
      </c>
      <c r="G387" t="str">
        <f>HYPERLINK("https://twitter.com/vollok01/status/2027793300468453514")</f>
        <v>https://twitter.com/vollok01/status/2027793300468453514</v>
      </c>
      <c r="H387" t="s">
        <v>28</v>
      </c>
      <c r="I387" t="s">
        <v>1216</v>
      </c>
      <c r="J387" t="s">
        <v>1217</v>
      </c>
      <c r="K387" t="str">
        <f>HYPERLINK("http://twitter.com/vollok01")</f>
        <v>http://twitter.com/vollok01</v>
      </c>
      <c r="L387">
        <v>14</v>
      </c>
      <c r="M387" t="s">
        <v>40</v>
      </c>
      <c r="N387" t="s">
        <v>278</v>
      </c>
      <c r="R387" t="s">
        <v>32</v>
      </c>
      <c r="S387" t="s">
        <v>33</v>
      </c>
      <c r="T387" t="s">
        <v>34</v>
      </c>
      <c r="U387" t="s">
        <v>58</v>
      </c>
      <c r="V387" t="s">
        <v>58</v>
      </c>
    </row>
    <row r="388" spans="1:20" ht="16">
      <c r="A388" t="s">
        <v>973</v>
      </c>
      <c r="B388" t="s">
        <v>1218</v>
      </c>
      <c r="C388" t="s">
        <v>24</v>
      </c>
      <c r="D388" t="s">
        <v>1219</v>
      </c>
      <c r="E388" t="s">
        <v>101</v>
      </c>
      <c r="F388" t="s">
        <v>3</v>
      </c>
      <c r="G388" t="str">
        <f>HYPERLINK("https://twitter.com/Vasadada11/status/2027792816441594162")</f>
        <v>https://twitter.com/Vasadada11/status/2027792816441594162</v>
      </c>
      <c r="H388" t="s">
        <v>28</v>
      </c>
      <c r="I388" t="s">
        <v>1220</v>
      </c>
      <c r="J388" t="s">
        <v>1221</v>
      </c>
      <c r="K388" t="str">
        <f>HYPERLINK("http://twitter.com/Vasadada11")</f>
        <v>http://twitter.com/Vasadada11</v>
      </c>
      <c r="L388">
        <v>141</v>
      </c>
      <c r="M388" t="s">
        <v>40</v>
      </c>
      <c r="N388" t="s">
        <v>278</v>
      </c>
      <c r="R388" t="s">
        <v>32</v>
      </c>
      <c r="S388" t="s">
        <v>33</v>
      </c>
      <c r="T388" t="s">
        <v>34</v>
      </c>
    </row>
    <row r="389" spans="1:20" ht="16">
      <c r="A389" t="s">
        <v>973</v>
      </c>
      <c r="B389" t="s">
        <v>1222</v>
      </c>
      <c r="C389" t="s">
        <v>24</v>
      </c>
      <c r="D389" t="s">
        <v>1223</v>
      </c>
      <c r="E389" t="s">
        <v>26</v>
      </c>
      <c r="F389" t="s">
        <v>1224</v>
      </c>
      <c r="G389" t="str">
        <f>HYPERLINK("https://www.youtube.com/watch?v=du_Tx4UG0LQ")</f>
        <v>https://www.youtube.com/watch?v=du_Tx4UG0LQ</v>
      </c>
      <c r="H389" t="s">
        <v>28</v>
      </c>
      <c r="I389" t="s">
        <v>1225</v>
      </c>
      <c r="J389" t="s">
        <v>1226</v>
      </c>
      <c r="K389" t="str">
        <f>HYPERLINK("https://www.youtube.com/channel/UCFQGp-VUHtKr6mw57u7gIpA")</f>
        <v>https://www.youtube.com/channel/UCFQGp-VUHtKr6mw57u7gIpA</v>
      </c>
      <c r="L389">
        <v>508000</v>
      </c>
      <c r="N389" t="s">
        <v>1227</v>
      </c>
      <c r="O389" t="s">
        <v>1225</v>
      </c>
      <c r="P389" t="str">
        <f>HYPERLINK("https://www.youtube.com/channel/UCFQGp-VUHtKr6mw57u7gIpA")</f>
        <v>https://www.youtube.com/channel/UCFQGp-VUHtKr6mw57u7gIpA</v>
      </c>
      <c r="Q389">
        <v>508000</v>
      </c>
      <c r="R389" t="s">
        <v>32</v>
      </c>
      <c r="S389" t="s">
        <v>33</v>
      </c>
      <c r="T389" t="s">
        <v>34</v>
      </c>
    </row>
    <row r="390" spans="1:20" ht="16">
      <c r="A390" t="s">
        <v>973</v>
      </c>
      <c r="B390" t="s">
        <v>1222</v>
      </c>
      <c r="C390" t="s">
        <v>1228</v>
      </c>
      <c r="D390" t="s">
        <v>1229</v>
      </c>
      <c r="E390" t="s">
        <v>26</v>
      </c>
      <c r="F390" t="s">
        <v>1230</v>
      </c>
      <c r="G390" t="str">
        <f>HYPERLINK("https://www.youtube.com/watch?v=du_Tx4UG0LQ")</f>
        <v>https://www.youtube.com/watch?v=du_Tx4UG0LQ</v>
      </c>
      <c r="H390" t="s">
        <v>28</v>
      </c>
      <c r="I390" t="s">
        <v>1225</v>
      </c>
      <c r="J390" t="s">
        <v>1226</v>
      </c>
      <c r="K390" t="str">
        <f>HYPERLINK("https://www.youtube.com/channel/UCFQGp-VUHtKr6mw57u7gIpA")</f>
        <v>https://www.youtube.com/channel/UCFQGp-VUHtKr6mw57u7gIpA</v>
      </c>
      <c r="L390">
        <v>508000</v>
      </c>
      <c r="N390" t="s">
        <v>1227</v>
      </c>
      <c r="O390" t="s">
        <v>1225</v>
      </c>
      <c r="P390" t="str">
        <f>HYPERLINK("https://www.youtube.com/channel/UCFQGp-VUHtKr6mw57u7gIpA")</f>
        <v>https://www.youtube.com/channel/UCFQGp-VUHtKr6mw57u7gIpA</v>
      </c>
      <c r="Q390">
        <v>508000</v>
      </c>
      <c r="R390" t="s">
        <v>32</v>
      </c>
      <c r="S390" t="s">
        <v>33</v>
      </c>
      <c r="T390" t="s">
        <v>34</v>
      </c>
    </row>
    <row r="391" spans="1:20" ht="16">
      <c r="A391" t="s">
        <v>973</v>
      </c>
      <c r="B391" t="s">
        <v>1222</v>
      </c>
      <c r="C391" t="s">
        <v>24</v>
      </c>
      <c r="D391" t="s">
        <v>275</v>
      </c>
      <c r="E391" t="s">
        <v>45</v>
      </c>
      <c r="F391" t="s">
        <v>3</v>
      </c>
      <c r="G391" t="str">
        <f>HYPERLINK("https://twitter.com/oleshka_olga/status/2027792259115057401")</f>
        <v>https://twitter.com/oleshka_olga/status/2027792259115057401</v>
      </c>
      <c r="H391" t="s">
        <v>28</v>
      </c>
      <c r="I391" t="s">
        <v>1231</v>
      </c>
      <c r="J391" t="s">
        <v>1232</v>
      </c>
      <c r="K391" t="str">
        <f>HYPERLINK("http://twitter.com/oleshka_olga")</f>
        <v>http://twitter.com/oleshka_olga</v>
      </c>
      <c r="L391">
        <v>55</v>
      </c>
      <c r="M391" t="s">
        <v>30</v>
      </c>
      <c r="N391" t="s">
        <v>278</v>
      </c>
      <c r="R391" t="s">
        <v>32</v>
      </c>
      <c r="S391" t="s">
        <v>33</v>
      </c>
      <c r="T391" t="s">
        <v>34</v>
      </c>
    </row>
    <row r="392" spans="1:20" ht="16">
      <c r="A392" t="s">
        <v>973</v>
      </c>
      <c r="B392" t="s">
        <v>1222</v>
      </c>
      <c r="C392" t="s">
        <v>24</v>
      </c>
      <c r="D392" t="s">
        <v>275</v>
      </c>
      <c r="E392" t="s">
        <v>45</v>
      </c>
      <c r="F392" t="s">
        <v>3</v>
      </c>
      <c r="G392" t="str">
        <f>HYPERLINK("https://twitter.com/Comaha6/status/2027792180882928103")</f>
        <v>https://twitter.com/Comaha6/status/2027792180882928103</v>
      </c>
      <c r="H392" t="s">
        <v>28</v>
      </c>
      <c r="I392" t="s">
        <v>1233</v>
      </c>
      <c r="J392" t="s">
        <v>1234</v>
      </c>
      <c r="K392" t="str">
        <f>HYPERLINK("http://twitter.com/Comaha6")</f>
        <v>http://twitter.com/Comaha6</v>
      </c>
      <c r="L392">
        <v>287</v>
      </c>
      <c r="N392" t="s">
        <v>278</v>
      </c>
      <c r="R392" t="s">
        <v>32</v>
      </c>
      <c r="S392" t="s">
        <v>33</v>
      </c>
      <c r="T392" t="s">
        <v>34</v>
      </c>
    </row>
    <row r="393" spans="1:22" ht="16">
      <c r="A393" t="s">
        <v>973</v>
      </c>
      <c r="B393" t="s">
        <v>1235</v>
      </c>
      <c r="C393" t="s">
        <v>24</v>
      </c>
      <c r="D393" t="s">
        <v>275</v>
      </c>
      <c r="E393" t="s">
        <v>45</v>
      </c>
      <c r="F393" t="s">
        <v>3</v>
      </c>
      <c r="G393" t="str">
        <f>HYPERLINK("https://twitter.com/lawyer_Odesa/status/2027791188221157702")</f>
        <v>https://twitter.com/lawyer_Odesa/status/2027791188221157702</v>
      </c>
      <c r="H393" t="s">
        <v>28</v>
      </c>
      <c r="I393" t="s">
        <v>1236</v>
      </c>
      <c r="J393" t="s">
        <v>1237</v>
      </c>
      <c r="K393" t="str">
        <f>HYPERLINK("http://twitter.com/lawyer_Odesa")</f>
        <v>http://twitter.com/lawyer_Odesa</v>
      </c>
      <c r="L393">
        <v>318</v>
      </c>
      <c r="N393" t="s">
        <v>278</v>
      </c>
      <c r="R393" t="s">
        <v>32</v>
      </c>
      <c r="S393" t="s">
        <v>33</v>
      </c>
      <c r="T393" t="s">
        <v>34</v>
      </c>
      <c r="U393" t="s">
        <v>384</v>
      </c>
      <c r="V393" t="s">
        <v>500</v>
      </c>
    </row>
    <row r="394" spans="1:22" ht="16">
      <c r="A394" t="s">
        <v>973</v>
      </c>
      <c r="B394" t="s">
        <v>1238</v>
      </c>
      <c r="C394" t="s">
        <v>24</v>
      </c>
      <c r="D394" t="s">
        <v>275</v>
      </c>
      <c r="E394" t="s">
        <v>45</v>
      </c>
      <c r="F394" t="s">
        <v>3</v>
      </c>
      <c r="G394" t="str">
        <f>HYPERLINK("https://twitter.com/Ivan_Andreiev/status/2027788673383629250")</f>
        <v>https://twitter.com/Ivan_Andreiev/status/2027788673383629250</v>
      </c>
      <c r="H394" t="s">
        <v>28</v>
      </c>
      <c r="I394" t="s">
        <v>1239</v>
      </c>
      <c r="J394" t="s">
        <v>1240</v>
      </c>
      <c r="K394" t="str">
        <f>HYPERLINK("http://twitter.com/Ivan_Andreiev")</f>
        <v>http://twitter.com/Ivan_Andreiev</v>
      </c>
      <c r="L394">
        <v>58</v>
      </c>
      <c r="N394" t="s">
        <v>278</v>
      </c>
      <c r="R394" t="s">
        <v>32</v>
      </c>
      <c r="S394" t="s">
        <v>33</v>
      </c>
      <c r="T394" t="s">
        <v>34</v>
      </c>
      <c r="U394" t="s">
        <v>58</v>
      </c>
      <c r="V394" t="s">
        <v>58</v>
      </c>
    </row>
    <row r="395" spans="1:22" ht="16">
      <c r="A395" t="s">
        <v>973</v>
      </c>
      <c r="B395" t="s">
        <v>1241</v>
      </c>
      <c r="C395" t="s">
        <v>80</v>
      </c>
      <c r="D395" t="s">
        <v>1242</v>
      </c>
      <c r="E395" t="s">
        <v>74</v>
      </c>
      <c r="F395" t="s">
        <v>3</v>
      </c>
      <c r="G395" t="str">
        <f>HYPERLINK("https://www.facebook.com/westukrnews/posts/pfbid05KpJzZfAmc7DG6HMNPojmy3FDtYQBjx33JCcksAdDUDGcWNSDnn66BSqDiowXeWol?comment_id=1222809570045143")</f>
        <v>https://www.facebook.com/westukrnews/posts/pfbid05KpJzZfAmc7DG6HMNPojmy3FDtYQBjx33JCcksAdDUDGcWNSDnn66BSqDiowXeWol?comment_id=1222809570045143</v>
      </c>
      <c r="H395" t="s">
        <v>28</v>
      </c>
      <c r="I395" t="s">
        <v>1243</v>
      </c>
      <c r="K395" t="str">
        <f>HYPERLINK("https://www.facebook.com/100009379407333")</f>
        <v>https://www.facebook.com/100009379407333</v>
      </c>
      <c r="M395" t="s">
        <v>30</v>
      </c>
      <c r="N395" t="s">
        <v>31</v>
      </c>
      <c r="O395" t="s">
        <v>813</v>
      </c>
      <c r="P395" t="str">
        <f>HYPERLINK("https://www.facebook.com/264234810584424")</f>
        <v>https://www.facebook.com/264234810584424</v>
      </c>
      <c r="Q395">
        <v>559985</v>
      </c>
      <c r="R395" t="s">
        <v>32</v>
      </c>
      <c r="S395" t="s">
        <v>33</v>
      </c>
      <c r="T395" t="s">
        <v>34</v>
      </c>
      <c r="U395" t="s">
        <v>487</v>
      </c>
      <c r="V395" t="s">
        <v>814</v>
      </c>
    </row>
    <row r="396" spans="1:22" ht="16">
      <c r="A396" t="s">
        <v>973</v>
      </c>
      <c r="B396" t="s">
        <v>1244</v>
      </c>
      <c r="C396" t="s">
        <v>24</v>
      </c>
      <c r="D396" t="s">
        <v>275</v>
      </c>
      <c r="E396" t="s">
        <v>45</v>
      </c>
      <c r="F396" t="s">
        <v>3</v>
      </c>
      <c r="G396" t="str">
        <f>HYPERLINK("https://twitter.com/coldreamsua/status/2027787839249789290")</f>
        <v>https://twitter.com/coldreamsua/status/2027787839249789290</v>
      </c>
      <c r="H396" t="s">
        <v>28</v>
      </c>
      <c r="I396" t="s">
        <v>1245</v>
      </c>
      <c r="J396" t="s">
        <v>1246</v>
      </c>
      <c r="K396" t="str">
        <f>HYPERLINK("http://twitter.com/coldreamsua")</f>
        <v>http://twitter.com/coldreamsua</v>
      </c>
      <c r="L396">
        <v>30</v>
      </c>
      <c r="N396" t="s">
        <v>278</v>
      </c>
      <c r="R396" t="s">
        <v>32</v>
      </c>
      <c r="S396" t="s">
        <v>33</v>
      </c>
      <c r="T396" t="s">
        <v>34</v>
      </c>
      <c r="U396" t="s">
        <v>58</v>
      </c>
      <c r="V396" t="s">
        <v>58</v>
      </c>
    </row>
    <row r="397" spans="1:22" ht="16">
      <c r="A397" t="s">
        <v>973</v>
      </c>
      <c r="B397" t="s">
        <v>271</v>
      </c>
      <c r="C397" t="s">
        <v>80</v>
      </c>
      <c r="D397" t="s">
        <v>1247</v>
      </c>
      <c r="E397" t="s">
        <v>74</v>
      </c>
      <c r="F397" t="s">
        <v>3</v>
      </c>
      <c r="G397" t="str">
        <f>HYPERLINK("https://www.facebook.com/westukrnews/posts/pfbid05KpJzZfAmc7DG6HMNPojmy3FDtYQBjx33JCcksAdDUDGcWNSDnn66BSqDiowXeWol?comment_id=1561683234890984")</f>
        <v>https://www.facebook.com/westukrnews/posts/pfbid05KpJzZfAmc7DG6HMNPojmy3FDtYQBjx33JCcksAdDUDGcWNSDnn66BSqDiowXeWol?comment_id=1561683234890984</v>
      </c>
      <c r="H397" t="s">
        <v>28</v>
      </c>
      <c r="I397" t="s">
        <v>1248</v>
      </c>
      <c r="K397" t="str">
        <f>HYPERLINK("https://www.facebook.com/100039486530969")</f>
        <v>https://www.facebook.com/100039486530969</v>
      </c>
      <c r="M397" t="s">
        <v>30</v>
      </c>
      <c r="N397" t="s">
        <v>31</v>
      </c>
      <c r="O397" t="s">
        <v>813</v>
      </c>
      <c r="P397" t="str">
        <f>HYPERLINK("https://www.facebook.com/264234810584424")</f>
        <v>https://www.facebook.com/264234810584424</v>
      </c>
      <c r="Q397">
        <v>559985</v>
      </c>
      <c r="R397" t="s">
        <v>32</v>
      </c>
      <c r="S397" t="s">
        <v>33</v>
      </c>
      <c r="T397" t="s">
        <v>34</v>
      </c>
      <c r="U397" t="s">
        <v>487</v>
      </c>
      <c r="V397" t="s">
        <v>814</v>
      </c>
    </row>
    <row r="398" spans="1:22" ht="16">
      <c r="A398" t="s">
        <v>973</v>
      </c>
      <c r="B398" t="s">
        <v>271</v>
      </c>
      <c r="C398" t="s">
        <v>24</v>
      </c>
      <c r="D398" t="s">
        <v>275</v>
      </c>
      <c r="E398" t="s">
        <v>45</v>
      </c>
      <c r="F398" t="s">
        <v>3</v>
      </c>
      <c r="G398" t="str">
        <f>HYPERLINK("https://twitter.com/andriiheadman/status/2027787499582460372")</f>
        <v>https://twitter.com/andriiheadman/status/2027787499582460372</v>
      </c>
      <c r="H398" t="s">
        <v>28</v>
      </c>
      <c r="I398" t="s">
        <v>1249</v>
      </c>
      <c r="J398" t="s">
        <v>1250</v>
      </c>
      <c r="K398" t="str">
        <f>HYPERLINK("http://twitter.com/andriiheadman")</f>
        <v>http://twitter.com/andriiheadman</v>
      </c>
      <c r="L398">
        <v>1087</v>
      </c>
      <c r="M398" t="s">
        <v>40</v>
      </c>
      <c r="N398" t="s">
        <v>278</v>
      </c>
      <c r="R398" t="s">
        <v>32</v>
      </c>
      <c r="S398" t="s">
        <v>33</v>
      </c>
      <c r="T398" t="s">
        <v>34</v>
      </c>
      <c r="U398" t="s">
        <v>167</v>
      </c>
      <c r="V398" t="s">
        <v>189</v>
      </c>
    </row>
    <row r="399" spans="1:22" ht="16">
      <c r="A399" t="s">
        <v>973</v>
      </c>
      <c r="B399" t="s">
        <v>1251</v>
      </c>
      <c r="C399" t="s">
        <v>80</v>
      </c>
      <c r="D399" t="s">
        <v>1252</v>
      </c>
      <c r="E399" t="s">
        <v>74</v>
      </c>
      <c r="F399" t="s">
        <v>3</v>
      </c>
      <c r="G399" t="str">
        <f>HYPERLINK("https://www.facebook.com/westukrnews/posts/pfbid05KpJzZfAmc7DG6HMNPojmy3FDtYQBjx33JCcksAdDUDGcWNSDnn66BSqDiowXeWol?comment_id=1286302136894002")</f>
        <v>https://www.facebook.com/westukrnews/posts/pfbid05KpJzZfAmc7DG6HMNPojmy3FDtYQBjx33JCcksAdDUDGcWNSDnn66BSqDiowXeWol?comment_id=1286302136894002</v>
      </c>
      <c r="H399" t="s">
        <v>28</v>
      </c>
      <c r="I399" t="s">
        <v>1248</v>
      </c>
      <c r="K399" t="str">
        <f>HYPERLINK("https://www.facebook.com/100039486530969")</f>
        <v>https://www.facebook.com/100039486530969</v>
      </c>
      <c r="M399" t="s">
        <v>30</v>
      </c>
      <c r="N399" t="s">
        <v>31</v>
      </c>
      <c r="O399" t="s">
        <v>813</v>
      </c>
      <c r="P399" t="str">
        <f>HYPERLINK("https://www.facebook.com/264234810584424")</f>
        <v>https://www.facebook.com/264234810584424</v>
      </c>
      <c r="Q399">
        <v>559985</v>
      </c>
      <c r="R399" t="s">
        <v>32</v>
      </c>
      <c r="S399" t="s">
        <v>33</v>
      </c>
      <c r="T399" t="s">
        <v>34</v>
      </c>
      <c r="U399" t="s">
        <v>487</v>
      </c>
      <c r="V399" t="s">
        <v>814</v>
      </c>
    </row>
    <row r="400" spans="1:20" ht="16">
      <c r="A400" t="s">
        <v>973</v>
      </c>
      <c r="B400" t="s">
        <v>1251</v>
      </c>
      <c r="C400" t="s">
        <v>24</v>
      </c>
      <c r="D400" t="s">
        <v>275</v>
      </c>
      <c r="E400" t="s">
        <v>45</v>
      </c>
      <c r="F400" t="s">
        <v>3</v>
      </c>
      <c r="G400" t="str">
        <f>HYPERLINK("https://twitter.com/t1z234/status/2027787202298519693")</f>
        <v>https://twitter.com/t1z234/status/2027787202298519693</v>
      </c>
      <c r="H400" t="s">
        <v>28</v>
      </c>
      <c r="I400" t="s">
        <v>1253</v>
      </c>
      <c r="J400" t="s">
        <v>1254</v>
      </c>
      <c r="K400" t="str">
        <f>HYPERLINK("http://twitter.com/t1z234")</f>
        <v>http://twitter.com/t1z234</v>
      </c>
      <c r="L400">
        <v>479</v>
      </c>
      <c r="N400" t="s">
        <v>278</v>
      </c>
      <c r="R400" t="s">
        <v>32</v>
      </c>
      <c r="S400" t="s">
        <v>33</v>
      </c>
      <c r="T400" t="s">
        <v>199</v>
      </c>
    </row>
    <row r="401" spans="1:20" ht="16">
      <c r="A401" t="s">
        <v>973</v>
      </c>
      <c r="B401" t="s">
        <v>1255</v>
      </c>
      <c r="C401" t="s">
        <v>24</v>
      </c>
      <c r="D401" t="s">
        <v>275</v>
      </c>
      <c r="E401" t="s">
        <v>45</v>
      </c>
      <c r="F401" t="s">
        <v>3</v>
      </c>
      <c r="G401" t="str">
        <f>HYPERLINK("https://twitter.com/shafir3035/status/2027786924304236920")</f>
        <v>https://twitter.com/shafir3035/status/2027786924304236920</v>
      </c>
      <c r="H401" t="s">
        <v>28</v>
      </c>
      <c r="I401" t="s">
        <v>1256</v>
      </c>
      <c r="J401" t="s">
        <v>1257</v>
      </c>
      <c r="K401" t="str">
        <f>HYPERLINK("http://twitter.com/shafir3035")</f>
        <v>http://twitter.com/shafir3035</v>
      </c>
      <c r="L401">
        <v>3431</v>
      </c>
      <c r="N401" t="s">
        <v>278</v>
      </c>
      <c r="R401" t="s">
        <v>32</v>
      </c>
      <c r="S401" t="s">
        <v>33</v>
      </c>
      <c r="T401" t="s">
        <v>62</v>
      </c>
    </row>
    <row r="402" spans="1:20" ht="16">
      <c r="A402" t="s">
        <v>973</v>
      </c>
      <c r="B402" t="s">
        <v>1258</v>
      </c>
      <c r="C402" t="s">
        <v>24</v>
      </c>
      <c r="D402" t="s">
        <v>275</v>
      </c>
      <c r="E402" t="s">
        <v>45</v>
      </c>
      <c r="F402" t="s">
        <v>3</v>
      </c>
      <c r="G402" t="str">
        <f>HYPERLINK("https://twitter.com/zariiyaya/status/2027786634352034177")</f>
        <v>https://twitter.com/zariiyaya/status/2027786634352034177</v>
      </c>
      <c r="H402" t="s">
        <v>28</v>
      </c>
      <c r="I402" t="s">
        <v>1259</v>
      </c>
      <c r="J402" t="s">
        <v>1260</v>
      </c>
      <c r="K402" t="str">
        <f>HYPERLINK("http://twitter.com/zariiyaya")</f>
        <v>http://twitter.com/zariiyaya</v>
      </c>
      <c r="L402">
        <v>480</v>
      </c>
      <c r="N402" t="s">
        <v>278</v>
      </c>
      <c r="R402" t="s">
        <v>32</v>
      </c>
      <c r="S402" t="s">
        <v>33</v>
      </c>
      <c r="T402" t="s">
        <v>34</v>
      </c>
    </row>
    <row r="403" spans="1:20" ht="16">
      <c r="A403" t="s">
        <v>973</v>
      </c>
      <c r="B403" t="s">
        <v>1261</v>
      </c>
      <c r="C403" t="s">
        <v>24</v>
      </c>
      <c r="D403" t="s">
        <v>275</v>
      </c>
      <c r="E403" t="s">
        <v>45</v>
      </c>
      <c r="F403" t="s">
        <v>3</v>
      </c>
      <c r="G403" t="str">
        <f>HYPERLINK("https://twitter.com/kost_25/status/2027786204121375001")</f>
        <v>https://twitter.com/kost_25/status/2027786204121375001</v>
      </c>
      <c r="H403" t="s">
        <v>28</v>
      </c>
      <c r="I403" t="s">
        <v>1262</v>
      </c>
      <c r="J403" t="s">
        <v>1263</v>
      </c>
      <c r="K403" t="str">
        <f>HYPERLINK("http://twitter.com/kost_25")</f>
        <v>http://twitter.com/kost_25</v>
      </c>
      <c r="L403">
        <v>744</v>
      </c>
      <c r="M403" t="s">
        <v>40</v>
      </c>
      <c r="N403" t="s">
        <v>278</v>
      </c>
      <c r="R403" t="s">
        <v>32</v>
      </c>
      <c r="S403" t="s">
        <v>33</v>
      </c>
      <c r="T403" t="s">
        <v>34</v>
      </c>
    </row>
    <row r="404" spans="1:22" ht="16">
      <c r="A404" t="s">
        <v>973</v>
      </c>
      <c r="B404" t="s">
        <v>1264</v>
      </c>
      <c r="C404" t="s">
        <v>80</v>
      </c>
      <c r="D404" t="s">
        <v>1265</v>
      </c>
      <c r="E404" t="s">
        <v>74</v>
      </c>
      <c r="F404" t="s">
        <v>3</v>
      </c>
      <c r="G404" t="str">
        <f>HYPERLINK("https://www.facebook.com/westukrnews/posts/pfbid05KpJzZfAmc7DG6HMNPojmy3FDtYQBjx33JCcksAdDUDGcWNSDnn66BSqDiowXeWol?comment_id=1539645374413822")</f>
        <v>https://www.facebook.com/westukrnews/posts/pfbid05KpJzZfAmc7DG6HMNPojmy3FDtYQBjx33JCcksAdDUDGcWNSDnn66BSqDiowXeWol?comment_id=1539645374413822</v>
      </c>
      <c r="H404" t="s">
        <v>28</v>
      </c>
      <c r="I404" t="s">
        <v>1266</v>
      </c>
      <c r="K404" t="str">
        <f>HYPERLINK("https://www.facebook.com/61551598481194")</f>
        <v>https://www.facebook.com/61551598481194</v>
      </c>
      <c r="M404" t="s">
        <v>30</v>
      </c>
      <c r="N404" t="s">
        <v>31</v>
      </c>
      <c r="O404" t="s">
        <v>813</v>
      </c>
      <c r="P404" t="str">
        <f>HYPERLINK("https://www.facebook.com/264234810584424")</f>
        <v>https://www.facebook.com/264234810584424</v>
      </c>
      <c r="Q404">
        <v>559985</v>
      </c>
      <c r="R404" t="s">
        <v>32</v>
      </c>
      <c r="S404" t="s">
        <v>85</v>
      </c>
      <c r="T404" t="s">
        <v>34</v>
      </c>
      <c r="U404" t="s">
        <v>487</v>
      </c>
      <c r="V404" t="s">
        <v>814</v>
      </c>
    </row>
    <row r="405" spans="1:20" ht="16">
      <c r="A405" t="s">
        <v>973</v>
      </c>
      <c r="B405" t="s">
        <v>1267</v>
      </c>
      <c r="C405" t="s">
        <v>24</v>
      </c>
      <c r="D405" t="s">
        <v>275</v>
      </c>
      <c r="E405" t="s">
        <v>45</v>
      </c>
      <c r="F405" t="s">
        <v>3</v>
      </c>
      <c r="G405" t="str">
        <f>HYPERLINK("https://twitter.com/Andrii82576/status/2027784917405372714")</f>
        <v>https://twitter.com/Andrii82576/status/2027784917405372714</v>
      </c>
      <c r="H405" t="s">
        <v>28</v>
      </c>
      <c r="I405" t="s">
        <v>1268</v>
      </c>
      <c r="J405" t="s">
        <v>1269</v>
      </c>
      <c r="K405" t="str">
        <f>HYPERLINK("http://twitter.com/Andrii82576")</f>
        <v>http://twitter.com/Andrii82576</v>
      </c>
      <c r="L405">
        <v>254</v>
      </c>
      <c r="N405" t="s">
        <v>278</v>
      </c>
      <c r="R405" t="s">
        <v>32</v>
      </c>
      <c r="S405" t="s">
        <v>33</v>
      </c>
      <c r="T405" t="s">
        <v>199</v>
      </c>
    </row>
    <row r="406" spans="1:20" ht="16">
      <c r="A406" t="s">
        <v>973</v>
      </c>
      <c r="B406" t="s">
        <v>1270</v>
      </c>
      <c r="C406" t="s">
        <v>24</v>
      </c>
      <c r="D406" t="s">
        <v>275</v>
      </c>
      <c r="E406" t="s">
        <v>45</v>
      </c>
      <c r="F406" t="s">
        <v>3</v>
      </c>
      <c r="G406" t="str">
        <f>HYPERLINK("https://twitter.com/fyuriy334/status/2027783569364357395")</f>
        <v>https://twitter.com/fyuriy334/status/2027783569364357395</v>
      </c>
      <c r="H406" t="s">
        <v>28</v>
      </c>
      <c r="I406" t="s">
        <v>1271</v>
      </c>
      <c r="J406" t="s">
        <v>1272</v>
      </c>
      <c r="K406" t="str">
        <f>HYPERLINK("http://twitter.com/fyuriy334")</f>
        <v>http://twitter.com/fyuriy334</v>
      </c>
      <c r="L406">
        <v>518</v>
      </c>
      <c r="M406" t="s">
        <v>40</v>
      </c>
      <c r="N406" t="s">
        <v>278</v>
      </c>
      <c r="R406" t="s">
        <v>32</v>
      </c>
      <c r="S406" t="s">
        <v>33</v>
      </c>
      <c r="T406" t="s">
        <v>192</v>
      </c>
    </row>
    <row r="407" spans="1:20" ht="16">
      <c r="A407" t="s">
        <v>973</v>
      </c>
      <c r="B407" t="s">
        <v>1273</v>
      </c>
      <c r="C407" t="s">
        <v>24</v>
      </c>
      <c r="D407" t="s">
        <v>275</v>
      </c>
      <c r="E407" t="s">
        <v>45</v>
      </c>
      <c r="F407" t="s">
        <v>3</v>
      </c>
      <c r="G407" t="str">
        <f>HYPERLINK("https://twitter.com/three_sla_fyfty/status/2027780688380878870")</f>
        <v>https://twitter.com/three_sla_fyfty/status/2027780688380878870</v>
      </c>
      <c r="H407" t="s">
        <v>28</v>
      </c>
      <c r="I407" t="s">
        <v>1274</v>
      </c>
      <c r="J407" t="s">
        <v>1275</v>
      </c>
      <c r="K407" t="str">
        <f>HYPERLINK("http://twitter.com/three_sla_fyfty")</f>
        <v>http://twitter.com/three_sla_fyfty</v>
      </c>
      <c r="L407">
        <v>151</v>
      </c>
      <c r="N407" t="s">
        <v>278</v>
      </c>
      <c r="R407" t="s">
        <v>32</v>
      </c>
      <c r="S407" t="s">
        <v>33</v>
      </c>
      <c r="T407" t="s">
        <v>34</v>
      </c>
    </row>
    <row r="408" spans="1:19" ht="16">
      <c r="A408" t="s">
        <v>973</v>
      </c>
      <c r="B408" t="s">
        <v>279</v>
      </c>
      <c r="C408" t="s">
        <v>24</v>
      </c>
      <c r="D408" t="s">
        <v>1276</v>
      </c>
      <c r="E408" t="s">
        <v>101</v>
      </c>
      <c r="F408" t="s">
        <v>46</v>
      </c>
      <c r="G408" t="str">
        <f>HYPERLINK("https://www.facebook.com/897470033178347")</f>
        <v>https://www.facebook.com/897470033178347</v>
      </c>
      <c r="H408" t="s">
        <v>28</v>
      </c>
      <c r="I408" t="s">
        <v>1277</v>
      </c>
      <c r="K408" t="str">
        <f>HYPERLINK("https://www.facebook.com/100087460743441")</f>
        <v>https://www.facebook.com/100087460743441</v>
      </c>
      <c r="M408" t="s">
        <v>40</v>
      </c>
      <c r="N408" t="s">
        <v>31</v>
      </c>
      <c r="O408" t="s">
        <v>1277</v>
      </c>
      <c r="P408" t="str">
        <f>HYPERLINK("https://www.facebook.com/100087460743441")</f>
        <v>https://www.facebook.com/100087460743441</v>
      </c>
      <c r="R408" t="s">
        <v>32</v>
      </c>
      <c r="S408" t="s">
        <v>33</v>
      </c>
    </row>
    <row r="409" spans="1:20" ht="16">
      <c r="A409" t="s">
        <v>973</v>
      </c>
      <c r="B409" t="s">
        <v>1278</v>
      </c>
      <c r="C409" t="s">
        <v>24</v>
      </c>
      <c r="D409" t="s">
        <v>275</v>
      </c>
      <c r="E409" t="s">
        <v>45</v>
      </c>
      <c r="F409" t="s">
        <v>3</v>
      </c>
      <c r="G409" t="str">
        <f>HYPERLINK("https://twitter.com/SandarMarneylen/status/2027778618827350467")</f>
        <v>https://twitter.com/SandarMarneylen/status/2027778618827350467</v>
      </c>
      <c r="H409" t="s">
        <v>28</v>
      </c>
      <c r="I409" t="s">
        <v>1279</v>
      </c>
      <c r="J409" t="s">
        <v>1280</v>
      </c>
      <c r="K409" t="str">
        <f>HYPERLINK("http://twitter.com/SandarMarneylen")</f>
        <v>http://twitter.com/SandarMarneylen</v>
      </c>
      <c r="L409">
        <v>440</v>
      </c>
      <c r="N409" t="s">
        <v>278</v>
      </c>
      <c r="R409" t="s">
        <v>32</v>
      </c>
      <c r="S409" t="s">
        <v>33</v>
      </c>
      <c r="T409" t="s">
        <v>34</v>
      </c>
    </row>
    <row r="410" spans="1:20" ht="16">
      <c r="A410" t="s">
        <v>973</v>
      </c>
      <c r="B410" t="s">
        <v>1281</v>
      </c>
      <c r="C410" t="s">
        <v>24</v>
      </c>
      <c r="D410" t="s">
        <v>275</v>
      </c>
      <c r="E410" t="s">
        <v>45</v>
      </c>
      <c r="F410" t="s">
        <v>3</v>
      </c>
      <c r="G410" t="str">
        <f>HYPERLINK("https://twitter.com/MolkaOdessa/status/2027774777260126601")</f>
        <v>https://twitter.com/MolkaOdessa/status/2027774777260126601</v>
      </c>
      <c r="H410" t="s">
        <v>28</v>
      </c>
      <c r="I410" t="s">
        <v>1282</v>
      </c>
      <c r="J410" t="s">
        <v>1283</v>
      </c>
      <c r="K410" t="str">
        <f>HYPERLINK("http://twitter.com/MolkaOdessa")</f>
        <v>http://twitter.com/MolkaOdessa</v>
      </c>
      <c r="L410">
        <v>338</v>
      </c>
      <c r="M410" t="s">
        <v>30</v>
      </c>
      <c r="N410" t="s">
        <v>278</v>
      </c>
      <c r="R410" t="s">
        <v>32</v>
      </c>
      <c r="S410" t="s">
        <v>33</v>
      </c>
      <c r="T410" t="s">
        <v>1284</v>
      </c>
    </row>
    <row r="411" spans="1:22" ht="16">
      <c r="A411" t="s">
        <v>973</v>
      </c>
      <c r="B411" t="s">
        <v>1285</v>
      </c>
      <c r="C411" t="s">
        <v>80</v>
      </c>
      <c r="D411" t="s">
        <v>1286</v>
      </c>
      <c r="E411" t="s">
        <v>74</v>
      </c>
      <c r="F411" t="s">
        <v>3</v>
      </c>
      <c r="G411" t="str">
        <f>HYPERLINK("https://www.facebook.com/westukrnews/posts/pfbid05KpJzZfAmc7DG6HMNPojmy3FDtYQBjx33JCcksAdDUDGcWNSDnn66BSqDiowXeWol?comment_id=1630497027961467")</f>
        <v>https://www.facebook.com/westukrnews/posts/pfbid05KpJzZfAmc7DG6HMNPojmy3FDtYQBjx33JCcksAdDUDGcWNSDnn66BSqDiowXeWol?comment_id=1630497027961467</v>
      </c>
      <c r="H411" t="s">
        <v>28</v>
      </c>
      <c r="I411" t="s">
        <v>1287</v>
      </c>
      <c r="K411" t="str">
        <f>HYPERLINK("https://www.facebook.com/100045755331858")</f>
        <v>https://www.facebook.com/100045755331858</v>
      </c>
      <c r="M411" t="s">
        <v>30</v>
      </c>
      <c r="N411" t="s">
        <v>31</v>
      </c>
      <c r="O411" t="s">
        <v>813</v>
      </c>
      <c r="P411" t="str">
        <f>HYPERLINK("https://www.facebook.com/264234810584424")</f>
        <v>https://www.facebook.com/264234810584424</v>
      </c>
      <c r="Q411">
        <v>559985</v>
      </c>
      <c r="R411" t="s">
        <v>32</v>
      </c>
      <c r="S411" t="s">
        <v>33</v>
      </c>
      <c r="T411" t="s">
        <v>34</v>
      </c>
      <c r="U411" t="s">
        <v>58</v>
      </c>
      <c r="V411" t="s">
        <v>58</v>
      </c>
    </row>
    <row r="412" spans="1:20" ht="16">
      <c r="A412" t="s">
        <v>973</v>
      </c>
      <c r="B412" t="s">
        <v>314</v>
      </c>
      <c r="C412" t="s">
        <v>24</v>
      </c>
      <c r="D412" t="s">
        <v>275</v>
      </c>
      <c r="E412" t="s">
        <v>45</v>
      </c>
      <c r="F412" t="s">
        <v>3</v>
      </c>
      <c r="G412" t="str">
        <f>HYPERLINK("https://twitter.com/StrichkaNata/status/2027769785505747288")</f>
        <v>https://twitter.com/StrichkaNata/status/2027769785505747288</v>
      </c>
      <c r="H412" t="s">
        <v>28</v>
      </c>
      <c r="I412" t="s">
        <v>1288</v>
      </c>
      <c r="J412" t="s">
        <v>1289</v>
      </c>
      <c r="K412" t="str">
        <f>HYPERLINK("http://twitter.com/StrichkaNata")</f>
        <v>http://twitter.com/StrichkaNata</v>
      </c>
      <c r="L412">
        <v>237</v>
      </c>
      <c r="M412" t="s">
        <v>30</v>
      </c>
      <c r="N412" t="s">
        <v>278</v>
      </c>
      <c r="R412" t="s">
        <v>32</v>
      </c>
      <c r="S412" t="s">
        <v>33</v>
      </c>
      <c r="T412" t="s">
        <v>34</v>
      </c>
    </row>
    <row r="413" spans="1:20" ht="16">
      <c r="A413" t="s">
        <v>973</v>
      </c>
      <c r="B413" t="s">
        <v>1290</v>
      </c>
      <c r="C413" t="s">
        <v>24</v>
      </c>
      <c r="D413" t="s">
        <v>275</v>
      </c>
      <c r="E413" t="s">
        <v>45</v>
      </c>
      <c r="F413" t="s">
        <v>3</v>
      </c>
      <c r="G413" t="str">
        <f>HYPERLINK("https://twitter.com/IgorDikinshtein/status/2027769344181084209")</f>
        <v>https://twitter.com/IgorDikinshtein/status/2027769344181084209</v>
      </c>
      <c r="H413" t="s">
        <v>28</v>
      </c>
      <c r="I413" t="s">
        <v>1291</v>
      </c>
      <c r="J413" t="s">
        <v>1292</v>
      </c>
      <c r="K413" t="str">
        <f>HYPERLINK("http://twitter.com/IgorDikinshtein")</f>
        <v>http://twitter.com/IgorDikinshtein</v>
      </c>
      <c r="L413">
        <v>592</v>
      </c>
      <c r="M413" t="s">
        <v>40</v>
      </c>
      <c r="N413" t="s">
        <v>278</v>
      </c>
      <c r="R413" t="s">
        <v>32</v>
      </c>
      <c r="S413" t="s">
        <v>33</v>
      </c>
      <c r="T413" t="s">
        <v>34</v>
      </c>
    </row>
    <row r="414" spans="1:19" ht="16">
      <c r="A414" t="s">
        <v>973</v>
      </c>
      <c r="B414" t="s">
        <v>1293</v>
      </c>
      <c r="C414" t="s">
        <v>24</v>
      </c>
      <c r="D414" t="s">
        <v>49</v>
      </c>
      <c r="E414" t="s">
        <v>45</v>
      </c>
      <c r="F414" t="s">
        <v>46</v>
      </c>
      <c r="G414" t="str">
        <f>HYPERLINK("https://www.facebook.com/4278039982342473")</f>
        <v>https://www.facebook.com/4278039982342473</v>
      </c>
      <c r="H414" t="s">
        <v>28</v>
      </c>
      <c r="I414" t="s">
        <v>1294</v>
      </c>
      <c r="K414" t="str">
        <f>HYPERLINK("https://www.facebook.com/100004095403691")</f>
        <v>https://www.facebook.com/100004095403691</v>
      </c>
      <c r="M414" t="s">
        <v>30</v>
      </c>
      <c r="N414" t="s">
        <v>31</v>
      </c>
      <c r="O414" t="s">
        <v>1294</v>
      </c>
      <c r="P414" t="str">
        <f>HYPERLINK("https://www.facebook.com/100004095403691")</f>
        <v>https://www.facebook.com/100004095403691</v>
      </c>
      <c r="R414" t="s">
        <v>32</v>
      </c>
      <c r="S414" t="s">
        <v>33</v>
      </c>
    </row>
    <row r="415" spans="1:20" ht="16">
      <c r="A415" t="s">
        <v>973</v>
      </c>
      <c r="B415" t="s">
        <v>1293</v>
      </c>
      <c r="C415" t="s">
        <v>24</v>
      </c>
      <c r="D415" t="s">
        <v>275</v>
      </c>
      <c r="E415" t="s">
        <v>45</v>
      </c>
      <c r="F415" t="s">
        <v>3</v>
      </c>
      <c r="G415" t="str">
        <f>HYPERLINK("https://twitter.com/vskol34/status/2027768706986549686")</f>
        <v>https://twitter.com/vskol34/status/2027768706986549686</v>
      </c>
      <c r="H415" t="s">
        <v>28</v>
      </c>
      <c r="I415" t="s">
        <v>1295</v>
      </c>
      <c r="J415" t="s">
        <v>1296</v>
      </c>
      <c r="K415" t="str">
        <f>HYPERLINK("http://twitter.com/vskol34")</f>
        <v>http://twitter.com/vskol34</v>
      </c>
      <c r="L415">
        <v>270</v>
      </c>
      <c r="M415" t="s">
        <v>40</v>
      </c>
      <c r="N415" t="s">
        <v>278</v>
      </c>
      <c r="R415" t="s">
        <v>32</v>
      </c>
      <c r="S415" t="s">
        <v>33</v>
      </c>
      <c r="T415" t="s">
        <v>34</v>
      </c>
    </row>
    <row r="416" spans="1:20" ht="16">
      <c r="A416" t="s">
        <v>973</v>
      </c>
      <c r="B416" t="s">
        <v>1297</v>
      </c>
      <c r="C416" t="s">
        <v>24</v>
      </c>
      <c r="D416" t="s">
        <v>275</v>
      </c>
      <c r="E416" t="s">
        <v>45</v>
      </c>
      <c r="F416" t="s">
        <v>3</v>
      </c>
      <c r="G416" t="str">
        <f>HYPERLINK("https://twitter.com/77kramola7/status/2027767875281301991")</f>
        <v>https://twitter.com/77kramola7/status/2027767875281301991</v>
      </c>
      <c r="H416" t="s">
        <v>28</v>
      </c>
      <c r="I416" t="s">
        <v>1298</v>
      </c>
      <c r="J416" t="s">
        <v>1298</v>
      </c>
      <c r="K416" t="str">
        <f>HYPERLINK("http://twitter.com/77kramola7")</f>
        <v>http://twitter.com/77kramola7</v>
      </c>
      <c r="L416">
        <v>1166</v>
      </c>
      <c r="N416" t="s">
        <v>278</v>
      </c>
      <c r="R416" t="s">
        <v>32</v>
      </c>
      <c r="S416" t="s">
        <v>33</v>
      </c>
      <c r="T416" t="s">
        <v>199</v>
      </c>
    </row>
    <row r="417" spans="1:22" ht="16">
      <c r="A417" t="s">
        <v>973</v>
      </c>
      <c r="B417" t="s">
        <v>1299</v>
      </c>
      <c r="C417" t="s">
        <v>80</v>
      </c>
      <c r="D417" t="s">
        <v>1300</v>
      </c>
      <c r="E417" t="s">
        <v>74</v>
      </c>
      <c r="F417" t="s">
        <v>3</v>
      </c>
      <c r="G417" t="str">
        <f>HYPERLINK("https://www.facebook.com/westukrnews/posts/pfbid05KpJzZfAmc7DG6HMNPojmy3FDtYQBjx33JCcksAdDUDGcWNSDnn66BSqDiowXeWol?comment_id=1442287630809780")</f>
        <v>https://www.facebook.com/westukrnews/posts/pfbid05KpJzZfAmc7DG6HMNPojmy3FDtYQBjx33JCcksAdDUDGcWNSDnn66BSqDiowXeWol?comment_id=1442287630809780</v>
      </c>
      <c r="H417" t="s">
        <v>28</v>
      </c>
      <c r="I417" t="s">
        <v>1301</v>
      </c>
      <c r="K417" t="str">
        <f>HYPERLINK("https://www.facebook.com/100053798094105")</f>
        <v>https://www.facebook.com/100053798094105</v>
      </c>
      <c r="M417" t="s">
        <v>30</v>
      </c>
      <c r="N417" t="s">
        <v>31</v>
      </c>
      <c r="O417" t="s">
        <v>813</v>
      </c>
      <c r="P417" t="str">
        <f>HYPERLINK("https://www.facebook.com/264234810584424")</f>
        <v>https://www.facebook.com/264234810584424</v>
      </c>
      <c r="Q417">
        <v>559985</v>
      </c>
      <c r="R417" t="s">
        <v>32</v>
      </c>
      <c r="S417" t="s">
        <v>57</v>
      </c>
      <c r="T417" t="s">
        <v>34</v>
      </c>
      <c r="U417" t="s">
        <v>384</v>
      </c>
      <c r="V417" t="s">
        <v>500</v>
      </c>
    </row>
    <row r="418" spans="1:20" ht="16">
      <c r="A418" t="s">
        <v>973</v>
      </c>
      <c r="B418" t="s">
        <v>1302</v>
      </c>
      <c r="C418" t="s">
        <v>1303</v>
      </c>
      <c r="D418" t="s">
        <v>1304</v>
      </c>
      <c r="E418" t="s">
        <v>26</v>
      </c>
      <c r="F418" t="s">
        <v>3</v>
      </c>
      <c r="G418" t="str">
        <f>HYPERLINK("https://spilno.org/news/amerykanska-mriya-za-miliony-yak-donka-mera-ternopolya-nadala-oselylasya-na-elitnii-villi-v-maiami")</f>
        <v>https://spilno.org/news/amerykanska-mriya-za-miliony-yak-donka-mera-ternopolya-nadala-oselylasya-na-elitnii-villi-v-maiami</v>
      </c>
      <c r="H418" t="s">
        <v>28</v>
      </c>
      <c r="I418" t="s">
        <v>1305</v>
      </c>
      <c r="K418" t="str">
        <f>HYPERLINK("http://spilno.org")</f>
        <v>http://spilno.org</v>
      </c>
      <c r="N418" t="s">
        <v>1305</v>
      </c>
      <c r="R418" t="s">
        <v>1170</v>
      </c>
      <c r="S418" t="s">
        <v>33</v>
      </c>
      <c r="T418" t="s">
        <v>34</v>
      </c>
    </row>
    <row r="419" spans="1:22" ht="16">
      <c r="A419" t="s">
        <v>973</v>
      </c>
      <c r="B419" t="s">
        <v>325</v>
      </c>
      <c r="C419" t="s">
        <v>72</v>
      </c>
      <c r="D419" t="s">
        <v>1306</v>
      </c>
      <c r="E419" t="s">
        <v>74</v>
      </c>
      <c r="F419" t="s">
        <v>3</v>
      </c>
      <c r="G419" t="str">
        <f>HYPERLINK("https://www.facebook.com/antonov.vs/posts/pfbid02aAhLm3RqwbmJgZcGx7n5tRbgsGDqyWNNkkWjPCPwUygpH1fanyzYZ2q7pPXhu8FBl?comment_id=814907510898970")</f>
        <v>https://www.facebook.com/antonov.vs/posts/pfbid02aAhLm3RqwbmJgZcGx7n5tRbgsGDqyWNNkkWjPCPwUygpH1fanyzYZ2q7pPXhu8FBl?comment_id=814907510898970</v>
      </c>
      <c r="H419" t="s">
        <v>28</v>
      </c>
      <c r="I419" t="s">
        <v>1307</v>
      </c>
      <c r="K419" t="str">
        <f>HYPERLINK("https://www.facebook.com/100045976090935")</f>
        <v>https://www.facebook.com/100045976090935</v>
      </c>
      <c r="M419" t="s">
        <v>30</v>
      </c>
      <c r="N419" t="s">
        <v>31</v>
      </c>
      <c r="O419" t="s">
        <v>1127</v>
      </c>
      <c r="P419" t="str">
        <f>HYPERLINK("https://www.facebook.com/100002292546539")</f>
        <v>https://www.facebook.com/100002292546539</v>
      </c>
      <c r="Q419">
        <v>485</v>
      </c>
      <c r="R419" t="s">
        <v>32</v>
      </c>
      <c r="S419" t="s">
        <v>33</v>
      </c>
      <c r="T419" t="s">
        <v>34</v>
      </c>
      <c r="U419" t="s">
        <v>1308</v>
      </c>
      <c r="V419" t="s">
        <v>1309</v>
      </c>
    </row>
    <row r="420" spans="1:20" ht="16">
      <c r="A420" t="s">
        <v>973</v>
      </c>
      <c r="B420" t="s">
        <v>1310</v>
      </c>
      <c r="C420" t="s">
        <v>24</v>
      </c>
      <c r="D420" t="s">
        <v>275</v>
      </c>
      <c r="E420" t="s">
        <v>45</v>
      </c>
      <c r="F420" t="s">
        <v>3</v>
      </c>
      <c r="G420" t="str">
        <f>HYPERLINK("https://twitter.com/tkorolina/status/2027764474661175539")</f>
        <v>https://twitter.com/tkorolina/status/2027764474661175539</v>
      </c>
      <c r="H420" t="s">
        <v>28</v>
      </c>
      <c r="I420" t="s">
        <v>1311</v>
      </c>
      <c r="J420" t="s">
        <v>1312</v>
      </c>
      <c r="K420" t="str">
        <f>HYPERLINK("http://twitter.com/tkorolina")</f>
        <v>http://twitter.com/tkorolina</v>
      </c>
      <c r="L420">
        <v>1053</v>
      </c>
      <c r="M420" t="s">
        <v>30</v>
      </c>
      <c r="N420" t="s">
        <v>278</v>
      </c>
      <c r="R420" t="s">
        <v>32</v>
      </c>
      <c r="S420" t="s">
        <v>33</v>
      </c>
      <c r="T420" t="s">
        <v>34</v>
      </c>
    </row>
    <row r="421" spans="1:20" ht="16">
      <c r="A421" t="s">
        <v>973</v>
      </c>
      <c r="B421" t="s">
        <v>1313</v>
      </c>
      <c r="C421" t="s">
        <v>24</v>
      </c>
      <c r="D421" t="s">
        <v>275</v>
      </c>
      <c r="E421" t="s">
        <v>45</v>
      </c>
      <c r="F421" t="s">
        <v>3</v>
      </c>
      <c r="G421" t="str">
        <f>HYPERLINK("https://twitter.com/Desh245/status/2027763996615413953")</f>
        <v>https://twitter.com/Desh245/status/2027763996615413953</v>
      </c>
      <c r="H421" t="s">
        <v>28</v>
      </c>
      <c r="I421" t="s">
        <v>1314</v>
      </c>
      <c r="J421" t="s">
        <v>1315</v>
      </c>
      <c r="K421" t="str">
        <f>HYPERLINK("http://twitter.com/Desh245")</f>
        <v>http://twitter.com/Desh245</v>
      </c>
      <c r="L421">
        <v>2132</v>
      </c>
      <c r="N421" t="s">
        <v>278</v>
      </c>
      <c r="R421" t="s">
        <v>32</v>
      </c>
      <c r="S421" t="s">
        <v>33</v>
      </c>
      <c r="T421" t="s">
        <v>62</v>
      </c>
    </row>
    <row r="422" spans="1:21" ht="16">
      <c r="A422" t="s">
        <v>973</v>
      </c>
      <c r="B422" t="s">
        <v>1316</v>
      </c>
      <c r="C422" t="s">
        <v>1317</v>
      </c>
      <c r="D422" t="s">
        <v>1318</v>
      </c>
      <c r="E422" t="s">
        <v>74</v>
      </c>
      <c r="F422" t="s">
        <v>3</v>
      </c>
      <c r="G422" t="str">
        <f>HYPERLINK("https://www.facebook.com/permalink.php?story_fbid=pfbid02z5fUwgvWQ26ZmYR1bPE6QkQpCAhizgnxvSdwYHN3uTqya8DBHmUDF17TgkhccJcul&amp;id=100090843379637&amp;comment_id=1943000193244230")</f>
        <v>https://www.facebook.com/permalink.php?story_fbid=pfbid02z5fUwgvWQ26ZmYR1bPE6QkQpCAhizgnxvSdwYHN3uTqya8DBHmUDF17TgkhccJcul&amp;id=100090843379637&amp;comment_id=1943000193244230</v>
      </c>
      <c r="H422" t="s">
        <v>28</v>
      </c>
      <c r="I422" t="s">
        <v>1319</v>
      </c>
      <c r="K422" t="str">
        <f>HYPERLINK("https://www.facebook.com/100044738363438")</f>
        <v>https://www.facebook.com/100044738363438</v>
      </c>
      <c r="M422" t="s">
        <v>40</v>
      </c>
      <c r="N422" t="s">
        <v>31</v>
      </c>
      <c r="O422" t="s">
        <v>876</v>
      </c>
      <c r="P422" t="str">
        <f>HYPERLINK("https://www.facebook.com/100090843379637")</f>
        <v>https://www.facebook.com/100090843379637</v>
      </c>
      <c r="R422" t="s">
        <v>32</v>
      </c>
      <c r="S422" t="s">
        <v>85</v>
      </c>
      <c r="T422" t="s">
        <v>34</v>
      </c>
      <c r="U422" t="s">
        <v>309</v>
      </c>
    </row>
    <row r="423" spans="1:20" ht="16">
      <c r="A423" t="s">
        <v>973</v>
      </c>
      <c r="B423" t="s">
        <v>353</v>
      </c>
      <c r="C423" t="s">
        <v>24</v>
      </c>
      <c r="D423" t="s">
        <v>275</v>
      </c>
      <c r="E423" t="s">
        <v>45</v>
      </c>
      <c r="F423" t="s">
        <v>3</v>
      </c>
      <c r="G423" t="str">
        <f>HYPERLINK("https://twitter.com/BanderaKambrod/status/2027762876136526131")</f>
        <v>https://twitter.com/BanderaKambrod/status/2027762876136526131</v>
      </c>
      <c r="H423" t="s">
        <v>28</v>
      </c>
      <c r="I423" t="s">
        <v>1320</v>
      </c>
      <c r="J423" t="s">
        <v>1321</v>
      </c>
      <c r="K423" t="str">
        <f>HYPERLINK("http://twitter.com/BanderaKambrod")</f>
        <v>http://twitter.com/BanderaKambrod</v>
      </c>
      <c r="L423">
        <v>1254</v>
      </c>
      <c r="N423" t="s">
        <v>278</v>
      </c>
      <c r="R423" t="s">
        <v>32</v>
      </c>
      <c r="S423" t="s">
        <v>33</v>
      </c>
      <c r="T423" t="s">
        <v>34</v>
      </c>
    </row>
    <row r="424" spans="1:20" ht="16">
      <c r="A424" t="s">
        <v>973</v>
      </c>
      <c r="B424" t="s">
        <v>1322</v>
      </c>
      <c r="C424" t="s">
        <v>24</v>
      </c>
      <c r="D424" t="s">
        <v>275</v>
      </c>
      <c r="E424" t="s">
        <v>45</v>
      </c>
      <c r="F424" t="s">
        <v>3</v>
      </c>
      <c r="G424" t="str">
        <f>HYPERLINK("https://twitter.com/leva10102002/status/2027762502264619285")</f>
        <v>https://twitter.com/leva10102002/status/2027762502264619285</v>
      </c>
      <c r="H424" t="s">
        <v>28</v>
      </c>
      <c r="I424" t="s">
        <v>1323</v>
      </c>
      <c r="J424" t="s">
        <v>1324</v>
      </c>
      <c r="K424" t="str">
        <f>HYPERLINK("http://twitter.com/leva10102002")</f>
        <v>http://twitter.com/leva10102002</v>
      </c>
      <c r="L424">
        <v>2573</v>
      </c>
      <c r="N424" t="s">
        <v>278</v>
      </c>
      <c r="R424" t="s">
        <v>32</v>
      </c>
      <c r="S424" t="s">
        <v>33</v>
      </c>
      <c r="T424" t="s">
        <v>199</v>
      </c>
    </row>
    <row r="425" spans="1:22" ht="16">
      <c r="A425" t="s">
        <v>973</v>
      </c>
      <c r="B425" t="s">
        <v>1325</v>
      </c>
      <c r="C425" t="s">
        <v>24</v>
      </c>
      <c r="D425" t="s">
        <v>275</v>
      </c>
      <c r="E425" t="s">
        <v>45</v>
      </c>
      <c r="F425" t="s">
        <v>3</v>
      </c>
      <c r="G425" t="str">
        <f>HYPERLINK("https://twitter.com/Jura_Dnipro/status/2027762170163851609")</f>
        <v>https://twitter.com/Jura_Dnipro/status/2027762170163851609</v>
      </c>
      <c r="H425" t="s">
        <v>28</v>
      </c>
      <c r="I425" t="s">
        <v>1326</v>
      </c>
      <c r="J425" t="s">
        <v>1327</v>
      </c>
      <c r="K425" t="str">
        <f>HYPERLINK("http://twitter.com/Jura_Dnipro")</f>
        <v>http://twitter.com/Jura_Dnipro</v>
      </c>
      <c r="L425">
        <v>3119</v>
      </c>
      <c r="M425" t="s">
        <v>40</v>
      </c>
      <c r="N425" t="s">
        <v>278</v>
      </c>
      <c r="R425" t="s">
        <v>32</v>
      </c>
      <c r="S425" t="s">
        <v>33</v>
      </c>
      <c r="T425" t="s">
        <v>34</v>
      </c>
      <c r="U425" t="s">
        <v>235</v>
      </c>
      <c r="V425" t="s">
        <v>236</v>
      </c>
    </row>
    <row r="426" spans="1:20" ht="16">
      <c r="A426" t="s">
        <v>973</v>
      </c>
      <c r="B426" t="s">
        <v>1328</v>
      </c>
      <c r="C426" t="s">
        <v>24</v>
      </c>
      <c r="D426" t="s">
        <v>275</v>
      </c>
      <c r="E426" t="s">
        <v>45</v>
      </c>
      <c r="F426" t="s">
        <v>3</v>
      </c>
      <c r="G426" t="str">
        <f>HYPERLINK("https://twitter.com/ow195PIf44lK4ia/status/2027761178479386908")</f>
        <v>https://twitter.com/ow195PIf44lK4ia/status/2027761178479386908</v>
      </c>
      <c r="H426" t="s">
        <v>28</v>
      </c>
      <c r="I426" t="s">
        <v>1329</v>
      </c>
      <c r="J426" t="s">
        <v>1330</v>
      </c>
      <c r="K426" t="str">
        <f>HYPERLINK("http://twitter.com/ow195PIf44lK4ia")</f>
        <v>http://twitter.com/ow195PIf44lK4ia</v>
      </c>
      <c r="L426">
        <v>1057</v>
      </c>
      <c r="M426" t="s">
        <v>30</v>
      </c>
      <c r="N426" t="s">
        <v>278</v>
      </c>
      <c r="R426" t="s">
        <v>32</v>
      </c>
      <c r="S426" t="s">
        <v>33</v>
      </c>
      <c r="T426" t="s">
        <v>34</v>
      </c>
    </row>
    <row r="427" spans="1:22" ht="16">
      <c r="A427" t="s">
        <v>973</v>
      </c>
      <c r="B427" t="s">
        <v>368</v>
      </c>
      <c r="C427" t="s">
        <v>80</v>
      </c>
      <c r="D427" t="s">
        <v>1331</v>
      </c>
      <c r="E427" t="s">
        <v>74</v>
      </c>
      <c r="F427" t="s">
        <v>3</v>
      </c>
      <c r="G427" t="str">
        <f>HYPERLINK("https://www.facebook.com/westukrnews/posts/pfbid05KpJzZfAmc7DG6HMNPojmy3FDtYQBjx33JCcksAdDUDGcWNSDnn66BSqDiowXeWol?comment_id=1292506739607331")</f>
        <v>https://www.facebook.com/westukrnews/posts/pfbid05KpJzZfAmc7DG6HMNPojmy3FDtYQBjx33JCcksAdDUDGcWNSDnn66BSqDiowXeWol?comment_id=1292506739607331</v>
      </c>
      <c r="H427" t="s">
        <v>28</v>
      </c>
      <c r="I427" t="s">
        <v>1332</v>
      </c>
      <c r="K427" t="str">
        <f>HYPERLINK("https://www.facebook.com/61551314003897")</f>
        <v>https://www.facebook.com/61551314003897</v>
      </c>
      <c r="M427" t="s">
        <v>30</v>
      </c>
      <c r="N427" t="s">
        <v>31</v>
      </c>
      <c r="O427" t="s">
        <v>813</v>
      </c>
      <c r="P427" t="str">
        <f>HYPERLINK("https://www.facebook.com/264234810584424")</f>
        <v>https://www.facebook.com/264234810584424</v>
      </c>
      <c r="Q427">
        <v>559985</v>
      </c>
      <c r="R427" t="s">
        <v>32</v>
      </c>
      <c r="S427" t="s">
        <v>33</v>
      </c>
      <c r="T427" t="s">
        <v>34</v>
      </c>
      <c r="U427" t="s">
        <v>487</v>
      </c>
      <c r="V427" t="s">
        <v>814</v>
      </c>
    </row>
    <row r="428" spans="1:20" ht="16">
      <c r="A428" t="s">
        <v>973</v>
      </c>
      <c r="B428" t="s">
        <v>1333</v>
      </c>
      <c r="C428" t="s">
        <v>24</v>
      </c>
      <c r="D428" t="s">
        <v>275</v>
      </c>
      <c r="E428" t="s">
        <v>45</v>
      </c>
      <c r="F428" t="s">
        <v>3</v>
      </c>
      <c r="G428" t="str">
        <f>HYPERLINK("https://twitter.com/N_A_T__O_K/status/2027760120046793049")</f>
        <v>https://twitter.com/N_A_T__O_K/status/2027760120046793049</v>
      </c>
      <c r="H428" t="s">
        <v>28</v>
      </c>
      <c r="I428" t="s">
        <v>1334</v>
      </c>
      <c r="J428" t="s">
        <v>1335</v>
      </c>
      <c r="K428" t="str">
        <f>HYPERLINK("http://twitter.com/N_A_T__O_K")</f>
        <v>http://twitter.com/N_A_T__O_K</v>
      </c>
      <c r="L428">
        <v>109</v>
      </c>
      <c r="N428" t="s">
        <v>278</v>
      </c>
      <c r="R428" t="s">
        <v>32</v>
      </c>
      <c r="S428" t="s">
        <v>33</v>
      </c>
      <c r="T428" t="s">
        <v>34</v>
      </c>
    </row>
    <row r="429" spans="1:19" ht="16">
      <c r="A429" t="s">
        <v>973</v>
      </c>
      <c r="B429" t="s">
        <v>1336</v>
      </c>
      <c r="C429" t="s">
        <v>24</v>
      </c>
      <c r="D429" t="s">
        <v>847</v>
      </c>
      <c r="E429" t="s">
        <v>45</v>
      </c>
      <c r="F429" t="s">
        <v>46</v>
      </c>
      <c r="G429" t="str">
        <f>HYPERLINK("https://www.facebook.com/1478694820548991")</f>
        <v>https://www.facebook.com/1478694820548991</v>
      </c>
      <c r="H429" t="s">
        <v>28</v>
      </c>
      <c r="I429" t="s">
        <v>1337</v>
      </c>
      <c r="K429" t="str">
        <f>HYPERLINK("https://www.facebook.com/100052254608836")</f>
        <v>https://www.facebook.com/100052254608836</v>
      </c>
      <c r="M429" t="s">
        <v>30</v>
      </c>
      <c r="N429" t="s">
        <v>31</v>
      </c>
      <c r="O429" t="s">
        <v>1337</v>
      </c>
      <c r="P429" t="str">
        <f>HYPERLINK("https://www.facebook.com/100052254608836")</f>
        <v>https://www.facebook.com/100052254608836</v>
      </c>
      <c r="R429" t="s">
        <v>32</v>
      </c>
      <c r="S429" t="s">
        <v>33</v>
      </c>
    </row>
    <row r="430" spans="1:19" ht="16">
      <c r="A430" t="s">
        <v>973</v>
      </c>
      <c r="B430" t="s">
        <v>1338</v>
      </c>
      <c r="C430" t="s">
        <v>24</v>
      </c>
      <c r="D430" t="s">
        <v>1339</v>
      </c>
      <c r="E430" t="s">
        <v>26</v>
      </c>
      <c r="F430" t="s">
        <v>3</v>
      </c>
      <c r="G430" t="str">
        <f>HYPERLINK("https://telegram.me/myko_info/31245")</f>
        <v>https://telegram.me/myko_info/31245</v>
      </c>
      <c r="H430" t="s">
        <v>28</v>
      </c>
      <c r="I430" t="s">
        <v>1134</v>
      </c>
      <c r="J430" t="s">
        <v>1340</v>
      </c>
      <c r="K430" t="str">
        <f>HYPERLINK("https://telegram.me/myko_info")</f>
        <v>https://telegram.me/myko_info</v>
      </c>
      <c r="L430">
        <v>192</v>
      </c>
      <c r="M430" t="s">
        <v>345</v>
      </c>
      <c r="N430" t="s">
        <v>346</v>
      </c>
      <c r="O430" t="s">
        <v>1134</v>
      </c>
      <c r="P430" t="str">
        <f>HYPERLINK("https://telegram.me/myko_info")</f>
        <v>https://telegram.me/myko_info</v>
      </c>
      <c r="Q430">
        <v>192</v>
      </c>
      <c r="R430" t="s">
        <v>347</v>
      </c>
      <c r="S430" t="s">
        <v>33</v>
      </c>
    </row>
    <row r="431" spans="1:22" ht="16">
      <c r="A431" t="s">
        <v>973</v>
      </c>
      <c r="B431" t="s">
        <v>436</v>
      </c>
      <c r="C431" t="s">
        <v>80</v>
      </c>
      <c r="D431" t="s">
        <v>1341</v>
      </c>
      <c r="E431" t="s">
        <v>74</v>
      </c>
      <c r="F431" t="s">
        <v>3</v>
      </c>
      <c r="G431" t="str">
        <f>HYPERLINK("https://www.facebook.com/westukrnews/posts/pfbid05KpJzZfAmc7DG6HMNPojmy3FDtYQBjx33JCcksAdDUDGcWNSDnn66BSqDiowXeWol?comment_id=1270916834936172")</f>
        <v>https://www.facebook.com/westukrnews/posts/pfbid05KpJzZfAmc7DG6HMNPojmy3FDtYQBjx33JCcksAdDUDGcWNSDnn66BSqDiowXeWol?comment_id=1270916834936172</v>
      </c>
      <c r="H431" t="s">
        <v>28</v>
      </c>
      <c r="I431" t="s">
        <v>1342</v>
      </c>
      <c r="K431" t="str">
        <f>HYPERLINK("https://www.facebook.com/100029708196032")</f>
        <v>https://www.facebook.com/100029708196032</v>
      </c>
      <c r="M431" t="s">
        <v>30</v>
      </c>
      <c r="N431" t="s">
        <v>31</v>
      </c>
      <c r="O431" t="s">
        <v>813</v>
      </c>
      <c r="P431" t="str">
        <f>HYPERLINK("https://www.facebook.com/264234810584424")</f>
        <v>https://www.facebook.com/264234810584424</v>
      </c>
      <c r="Q431">
        <v>559985</v>
      </c>
      <c r="R431" t="s">
        <v>32</v>
      </c>
      <c r="S431" t="s">
        <v>33</v>
      </c>
      <c r="T431" t="s">
        <v>34</v>
      </c>
      <c r="U431" t="s">
        <v>371</v>
      </c>
      <c r="V431" t="s">
        <v>1343</v>
      </c>
    </row>
    <row r="432" spans="1:20" ht="16">
      <c r="A432" t="s">
        <v>973</v>
      </c>
      <c r="B432" t="s">
        <v>436</v>
      </c>
      <c r="C432" t="s">
        <v>24</v>
      </c>
      <c r="D432" t="s">
        <v>275</v>
      </c>
      <c r="E432" t="s">
        <v>45</v>
      </c>
      <c r="F432" t="s">
        <v>3</v>
      </c>
      <c r="G432" t="str">
        <f>HYPERLINK("https://twitter.com/Sarumyan/status/2027753671488909667")</f>
        <v>https://twitter.com/Sarumyan/status/2027753671488909667</v>
      </c>
      <c r="H432" t="s">
        <v>28</v>
      </c>
      <c r="I432" t="s">
        <v>1344</v>
      </c>
      <c r="J432" t="s">
        <v>1344</v>
      </c>
      <c r="K432" t="str">
        <f>HYPERLINK("http://twitter.com/Sarumyan")</f>
        <v>http://twitter.com/Sarumyan</v>
      </c>
      <c r="L432">
        <v>178</v>
      </c>
      <c r="N432" t="s">
        <v>278</v>
      </c>
      <c r="R432" t="s">
        <v>32</v>
      </c>
      <c r="S432" t="s">
        <v>33</v>
      </c>
      <c r="T432" t="s">
        <v>34</v>
      </c>
    </row>
    <row r="433" spans="1:19" ht="16">
      <c r="A433" t="s">
        <v>973</v>
      </c>
      <c r="B433" t="s">
        <v>1345</v>
      </c>
      <c r="C433" t="s">
        <v>24</v>
      </c>
      <c r="D433" t="s">
        <v>254</v>
      </c>
      <c r="E433" t="s">
        <v>45</v>
      </c>
      <c r="F433" t="s">
        <v>46</v>
      </c>
      <c r="G433" t="str">
        <f>HYPERLINK("https://www.facebook.com/1563211764735298")</f>
        <v>https://www.facebook.com/1563211764735298</v>
      </c>
      <c r="H433" t="s">
        <v>28</v>
      </c>
      <c r="I433" t="s">
        <v>1346</v>
      </c>
      <c r="K433" t="str">
        <f>HYPERLINK("https://www.facebook.com/100031394689493")</f>
        <v>https://www.facebook.com/100031394689493</v>
      </c>
      <c r="M433" t="s">
        <v>40</v>
      </c>
      <c r="N433" t="s">
        <v>31</v>
      </c>
      <c r="O433" t="s">
        <v>1346</v>
      </c>
      <c r="P433" t="str">
        <f>HYPERLINK("https://www.facebook.com/100031394689493")</f>
        <v>https://www.facebook.com/100031394689493</v>
      </c>
      <c r="R433" t="s">
        <v>32</v>
      </c>
      <c r="S433" t="s">
        <v>33</v>
      </c>
    </row>
    <row r="434" spans="1:22" ht="16">
      <c r="A434" t="s">
        <v>973</v>
      </c>
      <c r="B434" t="s">
        <v>510</v>
      </c>
      <c r="C434" t="s">
        <v>1347</v>
      </c>
      <c r="D434" t="s">
        <v>1348</v>
      </c>
      <c r="E434" t="s">
        <v>74</v>
      </c>
      <c r="F434" t="s">
        <v>3</v>
      </c>
      <c r="G434" t="str">
        <f>HYPERLINK("https://www.facebook.com/ella.konakina/posts/pfbid02UkwB6Jo94KrnGE1H5M9hzhynZYaUi1uQ8GP5evvEHKmgbt8EGdUYZYBRmTbEskSWl?comment_id=4237358746504511")</f>
        <v>https://www.facebook.com/ella.konakina/posts/pfbid02UkwB6Jo94KrnGE1H5M9hzhynZYaUi1uQ8GP5evvEHKmgbt8EGdUYZYBRmTbEskSWl?comment_id=4237358746504511</v>
      </c>
      <c r="H434" t="s">
        <v>28</v>
      </c>
      <c r="I434" t="s">
        <v>1349</v>
      </c>
      <c r="K434" t="str">
        <f>HYPERLINK("https://www.facebook.com/100079763964119")</f>
        <v>https://www.facebook.com/100079763964119</v>
      </c>
      <c r="M434" t="s">
        <v>30</v>
      </c>
      <c r="N434" t="s">
        <v>31</v>
      </c>
      <c r="O434" t="s">
        <v>1350</v>
      </c>
      <c r="P434" t="str">
        <f>HYPERLINK("https://www.facebook.com/100001935101916")</f>
        <v>https://www.facebook.com/100001935101916</v>
      </c>
      <c r="R434" t="s">
        <v>32</v>
      </c>
      <c r="S434" t="s">
        <v>33</v>
      </c>
      <c r="T434" t="s">
        <v>108</v>
      </c>
      <c r="U434" t="s">
        <v>1351</v>
      </c>
      <c r="V434" t="s">
        <v>1352</v>
      </c>
    </row>
    <row r="435" spans="1:22" ht="16">
      <c r="A435" t="s">
        <v>973</v>
      </c>
      <c r="B435" t="s">
        <v>510</v>
      </c>
      <c r="C435" t="s">
        <v>24</v>
      </c>
      <c r="D435" t="s">
        <v>254</v>
      </c>
      <c r="E435" t="s">
        <v>45</v>
      </c>
      <c r="F435" t="s">
        <v>46</v>
      </c>
      <c r="G435" t="str">
        <f>HYPERLINK("https://www.facebook.com/3099226550464829")</f>
        <v>https://www.facebook.com/3099226550464829</v>
      </c>
      <c r="H435" t="s">
        <v>28</v>
      </c>
      <c r="I435" t="s">
        <v>1353</v>
      </c>
      <c r="J435" t="s">
        <v>1354</v>
      </c>
      <c r="K435" t="str">
        <f>HYPERLINK("https://www.facebook.com/100011325438757")</f>
        <v>https://www.facebook.com/100011325438757</v>
      </c>
      <c r="M435" t="s">
        <v>30</v>
      </c>
      <c r="N435" t="s">
        <v>31</v>
      </c>
      <c r="O435" t="s">
        <v>1353</v>
      </c>
      <c r="P435" t="str">
        <f>HYPERLINK("https://www.facebook.com/100011325438757")</f>
        <v>https://www.facebook.com/100011325438757</v>
      </c>
      <c r="R435" t="s">
        <v>32</v>
      </c>
      <c r="S435" t="s">
        <v>33</v>
      </c>
      <c r="T435" t="s">
        <v>117</v>
      </c>
      <c r="U435" t="s">
        <v>1355</v>
      </c>
      <c r="V435" t="s">
        <v>1356</v>
      </c>
    </row>
    <row r="436" spans="1:22" ht="16">
      <c r="A436" t="s">
        <v>973</v>
      </c>
      <c r="B436" t="s">
        <v>525</v>
      </c>
      <c r="C436" t="s">
        <v>24</v>
      </c>
      <c r="D436" t="s">
        <v>275</v>
      </c>
      <c r="E436" t="s">
        <v>45</v>
      </c>
      <c r="F436" t="s">
        <v>3</v>
      </c>
      <c r="G436" t="str">
        <f>HYPERLINK("https://twitter.com/Proskoviia/status/2027749799311646834")</f>
        <v>https://twitter.com/Proskoviia/status/2027749799311646834</v>
      </c>
      <c r="H436" t="s">
        <v>28</v>
      </c>
      <c r="I436" t="s">
        <v>1357</v>
      </c>
      <c r="J436" t="s">
        <v>1358</v>
      </c>
      <c r="K436" t="str">
        <f>HYPERLINK("http://twitter.com/Proskoviia")</f>
        <v>http://twitter.com/Proskoviia</v>
      </c>
      <c r="L436">
        <v>1833</v>
      </c>
      <c r="N436" t="s">
        <v>278</v>
      </c>
      <c r="R436" t="s">
        <v>32</v>
      </c>
      <c r="S436" t="s">
        <v>33</v>
      </c>
      <c r="T436" t="s">
        <v>34</v>
      </c>
      <c r="U436" t="s">
        <v>58</v>
      </c>
      <c r="V436" t="s">
        <v>58</v>
      </c>
    </row>
    <row r="437" spans="1:20" ht="16">
      <c r="A437" t="s">
        <v>973</v>
      </c>
      <c r="B437" t="s">
        <v>533</v>
      </c>
      <c r="C437" t="s">
        <v>24</v>
      </c>
      <c r="D437" t="s">
        <v>275</v>
      </c>
      <c r="E437" t="s">
        <v>45</v>
      </c>
      <c r="F437" t="s">
        <v>3</v>
      </c>
      <c r="G437" t="str">
        <f>HYPERLINK("https://twitter.com/vvoxrem/status/2027749157104931196")</f>
        <v>https://twitter.com/vvoxrem/status/2027749157104931196</v>
      </c>
      <c r="H437" t="s">
        <v>28</v>
      </c>
      <c r="I437" t="s">
        <v>882</v>
      </c>
      <c r="J437" t="s">
        <v>1359</v>
      </c>
      <c r="K437" t="str">
        <f>HYPERLINK("http://twitter.com/vvoxrem")</f>
        <v>http://twitter.com/vvoxrem</v>
      </c>
      <c r="L437">
        <v>386</v>
      </c>
      <c r="M437" t="s">
        <v>40</v>
      </c>
      <c r="N437" t="s">
        <v>278</v>
      </c>
      <c r="R437" t="s">
        <v>32</v>
      </c>
      <c r="S437" t="s">
        <v>33</v>
      </c>
      <c r="T437" t="s">
        <v>34</v>
      </c>
    </row>
    <row r="438" spans="1:20" ht="16">
      <c r="A438" t="s">
        <v>973</v>
      </c>
      <c r="B438" t="s">
        <v>553</v>
      </c>
      <c r="C438" t="s">
        <v>24</v>
      </c>
      <c r="D438" t="s">
        <v>275</v>
      </c>
      <c r="E438" t="s">
        <v>45</v>
      </c>
      <c r="F438" t="s">
        <v>3</v>
      </c>
      <c r="G438" t="str">
        <f>HYPERLINK("https://twitter.com/iaanovic85248/status/2027748518538944935")</f>
        <v>https://twitter.com/iaanovic85248/status/2027748518538944935</v>
      </c>
      <c r="H438" t="s">
        <v>28</v>
      </c>
      <c r="I438" t="s">
        <v>1360</v>
      </c>
      <c r="J438" t="s">
        <v>1361</v>
      </c>
      <c r="K438" t="str">
        <f>HYPERLINK("http://twitter.com/iaanovic85248")</f>
        <v>http://twitter.com/iaanovic85248</v>
      </c>
      <c r="L438">
        <v>741</v>
      </c>
      <c r="M438" t="s">
        <v>40</v>
      </c>
      <c r="N438" t="s">
        <v>278</v>
      </c>
      <c r="R438" t="s">
        <v>32</v>
      </c>
      <c r="S438" t="s">
        <v>33</v>
      </c>
      <c r="T438" t="s">
        <v>34</v>
      </c>
    </row>
    <row r="439" spans="1:20" ht="16">
      <c r="A439" t="s">
        <v>973</v>
      </c>
      <c r="B439" t="s">
        <v>594</v>
      </c>
      <c r="C439" t="s">
        <v>24</v>
      </c>
      <c r="D439" t="s">
        <v>1362</v>
      </c>
      <c r="E439" t="s">
        <v>26</v>
      </c>
      <c r="F439" t="s">
        <v>55</v>
      </c>
      <c r="G439" t="str">
        <f>HYPERLINK("https://www.facebook.com/1351091843728246")</f>
        <v>https://www.facebook.com/1351091843728246</v>
      </c>
      <c r="H439" t="s">
        <v>28</v>
      </c>
      <c r="I439" t="s">
        <v>1363</v>
      </c>
      <c r="K439" t="str">
        <f>HYPERLINK("https://www.facebook.com/163865344277635")</f>
        <v>https://www.facebook.com/163865344277635</v>
      </c>
      <c r="L439">
        <v>4286</v>
      </c>
      <c r="M439" t="s">
        <v>345</v>
      </c>
      <c r="N439" t="s">
        <v>31</v>
      </c>
      <c r="O439" t="s">
        <v>1363</v>
      </c>
      <c r="P439" t="str">
        <f>HYPERLINK("https://www.facebook.com/163865344277635")</f>
        <v>https://www.facebook.com/163865344277635</v>
      </c>
      <c r="Q439">
        <v>4286</v>
      </c>
      <c r="R439" t="s">
        <v>32</v>
      </c>
      <c r="S439" t="s">
        <v>33</v>
      </c>
      <c r="T439" t="s">
        <v>34</v>
      </c>
    </row>
    <row r="440" spans="1:22" ht="16">
      <c r="A440" t="s">
        <v>973</v>
      </c>
      <c r="B440" t="s">
        <v>594</v>
      </c>
      <c r="C440" t="s">
        <v>24</v>
      </c>
      <c r="D440" t="s">
        <v>275</v>
      </c>
      <c r="E440" t="s">
        <v>26</v>
      </c>
      <c r="F440" t="s">
        <v>3</v>
      </c>
      <c r="G440" t="str">
        <f>HYPERLINK("https://twitter.com/spilnoua/status/2027745647474925578")</f>
        <v>https://twitter.com/spilnoua/status/2027745647474925578</v>
      </c>
      <c r="H440" t="s">
        <v>28</v>
      </c>
      <c r="I440" t="s">
        <v>1364</v>
      </c>
      <c r="J440" t="s">
        <v>1365</v>
      </c>
      <c r="K440" t="str">
        <f>HYPERLINK("http://twitter.com/spilnoua")</f>
        <v>http://twitter.com/spilnoua</v>
      </c>
      <c r="L440">
        <v>663</v>
      </c>
      <c r="N440" t="s">
        <v>278</v>
      </c>
      <c r="R440" t="s">
        <v>32</v>
      </c>
      <c r="S440" t="s">
        <v>33</v>
      </c>
      <c r="T440" t="s">
        <v>34</v>
      </c>
      <c r="U440" t="s">
        <v>58</v>
      </c>
      <c r="V440" t="s">
        <v>58</v>
      </c>
    </row>
    <row r="441" spans="1:22" ht="16">
      <c r="A441" t="s">
        <v>973</v>
      </c>
      <c r="B441" t="s">
        <v>609</v>
      </c>
      <c r="C441" t="s">
        <v>1317</v>
      </c>
      <c r="D441" t="s">
        <v>1366</v>
      </c>
      <c r="E441" t="s">
        <v>74</v>
      </c>
      <c r="F441" t="s">
        <v>3</v>
      </c>
      <c r="G441" t="str">
        <f>HYPERLINK("https://www.facebook.com/permalink.php?story_fbid=pfbid02z5fUwgvWQ26ZmYR1bPE6QkQpCAhizgnxvSdwYHN3uTqya8DBHmUDF17TgkhccJcul&amp;id=100090843379637&amp;comment_id=4416231048698857")</f>
        <v>https://www.facebook.com/permalink.php?story_fbid=pfbid02z5fUwgvWQ26ZmYR1bPE6QkQpCAhizgnxvSdwYHN3uTqya8DBHmUDF17TgkhccJcul&amp;id=100090843379637&amp;comment_id=4416231048698857</v>
      </c>
      <c r="H441" t="s">
        <v>28</v>
      </c>
      <c r="I441" t="s">
        <v>1367</v>
      </c>
      <c r="K441" t="str">
        <f>HYPERLINK("https://www.facebook.com/100076759866897")</f>
        <v>https://www.facebook.com/100076759866897</v>
      </c>
      <c r="M441" t="s">
        <v>30</v>
      </c>
      <c r="N441" t="s">
        <v>31</v>
      </c>
      <c r="O441" t="s">
        <v>876</v>
      </c>
      <c r="P441" t="str">
        <f>HYPERLINK("https://www.facebook.com/100090843379637")</f>
        <v>https://www.facebook.com/100090843379637</v>
      </c>
      <c r="R441" t="s">
        <v>32</v>
      </c>
      <c r="S441" t="s">
        <v>85</v>
      </c>
      <c r="T441" t="s">
        <v>34</v>
      </c>
      <c r="U441" t="s">
        <v>173</v>
      </c>
      <c r="V441" t="s">
        <v>174</v>
      </c>
    </row>
    <row r="442" spans="1:22" ht="16">
      <c r="A442" t="s">
        <v>973</v>
      </c>
      <c r="B442" t="s">
        <v>627</v>
      </c>
      <c r="C442" t="s">
        <v>80</v>
      </c>
      <c r="D442" t="s">
        <v>1368</v>
      </c>
      <c r="E442" t="s">
        <v>74</v>
      </c>
      <c r="F442" t="s">
        <v>3</v>
      </c>
      <c r="G442" t="str">
        <f>HYPERLINK("https://www.facebook.com/westukrnews/posts/pfbid05KpJzZfAmc7DG6HMNPojmy3FDtYQBjx33JCcksAdDUDGcWNSDnn66BSqDiowXeWol?comment_id=1451817883056572")</f>
        <v>https://www.facebook.com/westukrnews/posts/pfbid05KpJzZfAmc7DG6HMNPojmy3FDtYQBjx33JCcksAdDUDGcWNSDnn66BSqDiowXeWol?comment_id=1451817883056572</v>
      </c>
      <c r="H442" t="s">
        <v>28</v>
      </c>
      <c r="I442" t="s">
        <v>1369</v>
      </c>
      <c r="K442" t="str">
        <f>HYPERLINK("https://www.facebook.com/100033722209493")</f>
        <v>https://www.facebook.com/100033722209493</v>
      </c>
      <c r="M442" t="s">
        <v>30</v>
      </c>
      <c r="N442" t="s">
        <v>31</v>
      </c>
      <c r="O442" t="s">
        <v>813</v>
      </c>
      <c r="P442" t="str">
        <f>HYPERLINK("https://www.facebook.com/264234810584424")</f>
        <v>https://www.facebook.com/264234810584424</v>
      </c>
      <c r="Q442">
        <v>559985</v>
      </c>
      <c r="R442" t="s">
        <v>32</v>
      </c>
      <c r="S442" t="s">
        <v>85</v>
      </c>
      <c r="T442" t="s">
        <v>34</v>
      </c>
      <c r="U442" t="s">
        <v>77</v>
      </c>
      <c r="V442" t="s">
        <v>140</v>
      </c>
    </row>
    <row r="443" spans="1:22" ht="16">
      <c r="A443" t="s">
        <v>973</v>
      </c>
      <c r="B443" t="s">
        <v>1370</v>
      </c>
      <c r="C443" t="s">
        <v>72</v>
      </c>
      <c r="D443" t="s">
        <v>1371</v>
      </c>
      <c r="E443" t="s">
        <v>74</v>
      </c>
      <c r="F443" t="s">
        <v>3</v>
      </c>
      <c r="G443" t="str">
        <f>HYPERLINK("https://www.facebook.com/antonov.vs/posts/pfbid02aAhLm3RqwbmJgZcGx7n5tRbgsGDqyWNNkkWjPCPwUygpH1fanyzYZ2q7pPXhu8FBl?comment_id=1571882917261987")</f>
        <v>https://www.facebook.com/antonov.vs/posts/pfbid02aAhLm3RqwbmJgZcGx7n5tRbgsGDqyWNNkkWjPCPwUygpH1fanyzYZ2q7pPXhu8FBl?comment_id=1571882917261987</v>
      </c>
      <c r="H443" t="s">
        <v>28</v>
      </c>
      <c r="I443" t="s">
        <v>1372</v>
      </c>
      <c r="K443" t="str">
        <f>HYPERLINK("https://www.facebook.com/100023452793469")</f>
        <v>https://www.facebook.com/100023452793469</v>
      </c>
      <c r="M443" t="s">
        <v>30</v>
      </c>
      <c r="N443" t="s">
        <v>31</v>
      </c>
      <c r="O443" t="s">
        <v>1127</v>
      </c>
      <c r="P443" t="str">
        <f>HYPERLINK("https://www.facebook.com/100002292546539")</f>
        <v>https://www.facebook.com/100002292546539</v>
      </c>
      <c r="Q443">
        <v>485</v>
      </c>
      <c r="R443" t="s">
        <v>32</v>
      </c>
      <c r="S443" t="s">
        <v>33</v>
      </c>
      <c r="T443" t="s">
        <v>34</v>
      </c>
      <c r="U443" t="s">
        <v>1308</v>
      </c>
      <c r="V443" t="s">
        <v>1309</v>
      </c>
    </row>
    <row r="444" spans="1:19" ht="16">
      <c r="A444" t="s">
        <v>973</v>
      </c>
      <c r="B444" t="s">
        <v>1373</v>
      </c>
      <c r="C444" t="s">
        <v>24</v>
      </c>
      <c r="D444" t="s">
        <v>254</v>
      </c>
      <c r="E444" t="s">
        <v>45</v>
      </c>
      <c r="F444" t="s">
        <v>46</v>
      </c>
      <c r="G444" t="str">
        <f>HYPERLINK("https://www.facebook.com/874780422217299")</f>
        <v>https://www.facebook.com/874780422217299</v>
      </c>
      <c r="H444" t="s">
        <v>28</v>
      </c>
      <c r="I444" t="s">
        <v>1374</v>
      </c>
      <c r="K444" t="str">
        <f>HYPERLINK("https://www.facebook.com/100090560477840")</f>
        <v>https://www.facebook.com/100090560477840</v>
      </c>
      <c r="M444" t="s">
        <v>40</v>
      </c>
      <c r="N444" t="s">
        <v>31</v>
      </c>
      <c r="O444" t="s">
        <v>1374</v>
      </c>
      <c r="P444" t="str">
        <f>HYPERLINK("https://www.facebook.com/100090560477840")</f>
        <v>https://www.facebook.com/100090560477840</v>
      </c>
      <c r="R444" t="s">
        <v>32</v>
      </c>
      <c r="S444" t="s">
        <v>33</v>
      </c>
    </row>
    <row r="445" spans="1:22" ht="16">
      <c r="A445" t="s">
        <v>973</v>
      </c>
      <c r="B445" t="s">
        <v>1375</v>
      </c>
      <c r="C445" t="s">
        <v>24</v>
      </c>
      <c r="D445" t="s">
        <v>1376</v>
      </c>
      <c r="E445" t="s">
        <v>26</v>
      </c>
      <c r="F445" t="s">
        <v>55</v>
      </c>
      <c r="G445" t="str">
        <f>HYPERLINK("https://www.facebook.com/2882934202098269")</f>
        <v>https://www.facebook.com/2882934202098269</v>
      </c>
      <c r="H445" t="s">
        <v>28</v>
      </c>
      <c r="I445" t="s">
        <v>1377</v>
      </c>
      <c r="K445" t="str">
        <f>HYPERLINK("https://www.facebook.com/100011451529433")</f>
        <v>https://www.facebook.com/100011451529433</v>
      </c>
      <c r="M445" t="s">
        <v>40</v>
      </c>
      <c r="N445" t="s">
        <v>31</v>
      </c>
      <c r="O445" t="s">
        <v>1377</v>
      </c>
      <c r="P445" t="str">
        <f>HYPERLINK("https://www.facebook.com/100011451529433")</f>
        <v>https://www.facebook.com/100011451529433</v>
      </c>
      <c r="R445" t="s">
        <v>32</v>
      </c>
      <c r="S445" t="s">
        <v>33</v>
      </c>
      <c r="T445" t="s">
        <v>34</v>
      </c>
      <c r="U445" t="s">
        <v>41</v>
      </c>
      <c r="V445" t="s">
        <v>42</v>
      </c>
    </row>
    <row r="446" spans="1:22" ht="16">
      <c r="A446" t="s">
        <v>973</v>
      </c>
      <c r="B446" t="s">
        <v>1378</v>
      </c>
      <c r="C446" t="s">
        <v>72</v>
      </c>
      <c r="D446" t="s">
        <v>1379</v>
      </c>
      <c r="E446" t="s">
        <v>74</v>
      </c>
      <c r="F446" t="s">
        <v>3</v>
      </c>
      <c r="G446" t="str">
        <f>HYPERLINK("https://www.facebook.com/permalink.php?story_fbid=pfbid0oe6Um7pN276QoEDBwEx2FQ9wPdrmtpQaiGt2p6g9ZdVtZnKSNTt7QSoobVSCty7ol&amp;id=100011701954282&amp;comment_id=1545683326537635")</f>
        <v>https://www.facebook.com/permalink.php?story_fbid=pfbid0oe6Um7pN276QoEDBwEx2FQ9wPdrmtpQaiGt2p6g9ZdVtZnKSNTt7QSoobVSCty7ol&amp;id=100011701954282&amp;comment_id=1545683326537635</v>
      </c>
      <c r="H446" t="s">
        <v>28</v>
      </c>
      <c r="I446" t="s">
        <v>1380</v>
      </c>
      <c r="K446" t="str">
        <f>HYPERLINK("https://www.facebook.com/100011112823832")</f>
        <v>https://www.facebook.com/100011112823832</v>
      </c>
      <c r="M446" t="s">
        <v>30</v>
      </c>
      <c r="N446" t="s">
        <v>31</v>
      </c>
      <c r="O446" t="s">
        <v>914</v>
      </c>
      <c r="P446" t="str">
        <f>HYPERLINK("https://www.facebook.com/pfbid0312VF7RoNSQ1Azu25ZEGWbr8a71v5u6FmfqGthVccJVq4xkkvk1qrGhkJ2AZGeApRl")</f>
        <v>https://www.facebook.com/pfbid0312VF7RoNSQ1Azu25ZEGWbr8a71v5u6FmfqGthVccJVq4xkkvk1qrGhkJ2AZGeApRl</v>
      </c>
      <c r="R446" t="s">
        <v>32</v>
      </c>
      <c r="S446" t="s">
        <v>85</v>
      </c>
      <c r="T446" t="s">
        <v>34</v>
      </c>
      <c r="U446" t="s">
        <v>899</v>
      </c>
      <c r="V446" t="s">
        <v>900</v>
      </c>
    </row>
    <row r="447" spans="1:21" ht="16">
      <c r="A447" t="s">
        <v>973</v>
      </c>
      <c r="B447" t="s">
        <v>678</v>
      </c>
      <c r="C447" t="s">
        <v>24</v>
      </c>
      <c r="D447" t="s">
        <v>1381</v>
      </c>
      <c r="E447" t="s">
        <v>45</v>
      </c>
      <c r="F447" t="s">
        <v>55</v>
      </c>
      <c r="G447" t="str">
        <f>HYPERLINK("https://www.facebook.com/877859221918849")</f>
        <v>https://www.facebook.com/877859221918849</v>
      </c>
      <c r="H447" t="s">
        <v>28</v>
      </c>
      <c r="I447" t="s">
        <v>876</v>
      </c>
      <c r="K447" t="str">
        <f>HYPERLINK("https://www.facebook.com/100090843379637")</f>
        <v>https://www.facebook.com/100090843379637</v>
      </c>
      <c r="M447" t="s">
        <v>40</v>
      </c>
      <c r="N447" t="s">
        <v>31</v>
      </c>
      <c r="O447" t="s">
        <v>876</v>
      </c>
      <c r="P447" t="str">
        <f>HYPERLINK("https://www.facebook.com/100090843379637")</f>
        <v>https://www.facebook.com/100090843379637</v>
      </c>
      <c r="R447" t="s">
        <v>32</v>
      </c>
      <c r="S447" t="s">
        <v>33</v>
      </c>
      <c r="T447" t="s">
        <v>34</v>
      </c>
      <c r="U447" t="s">
        <v>309</v>
      </c>
    </row>
    <row r="448" spans="1:22" ht="16">
      <c r="A448" t="s">
        <v>973</v>
      </c>
      <c r="B448" t="s">
        <v>687</v>
      </c>
      <c r="C448" t="s">
        <v>24</v>
      </c>
      <c r="D448" t="s">
        <v>44</v>
      </c>
      <c r="E448" t="s">
        <v>45</v>
      </c>
      <c r="F448" t="s">
        <v>46</v>
      </c>
      <c r="G448" t="str">
        <f>HYPERLINK("https://www.facebook.com/1816922782189763")</f>
        <v>https://www.facebook.com/1816922782189763</v>
      </c>
      <c r="H448" t="s">
        <v>28</v>
      </c>
      <c r="I448" t="s">
        <v>1036</v>
      </c>
      <c r="K448" t="str">
        <f>HYPERLINK("https://www.facebook.com/100008753318448")</f>
        <v>https://www.facebook.com/100008753318448</v>
      </c>
      <c r="M448" t="s">
        <v>30</v>
      </c>
      <c r="N448" t="s">
        <v>31</v>
      </c>
      <c r="O448" t="s">
        <v>1382</v>
      </c>
      <c r="P448" t="str">
        <f>HYPERLINK("https://www.facebook.com/513396609209060")</f>
        <v>https://www.facebook.com/513396609209060</v>
      </c>
      <c r="Q448">
        <v>1117</v>
      </c>
      <c r="R448" t="s">
        <v>32</v>
      </c>
      <c r="S448" t="s">
        <v>33</v>
      </c>
      <c r="T448" t="s">
        <v>86</v>
      </c>
      <c r="U448" t="s">
        <v>127</v>
      </c>
      <c r="V448" t="s">
        <v>128</v>
      </c>
    </row>
    <row r="449" spans="1:19" ht="16">
      <c r="A449" t="s">
        <v>973</v>
      </c>
      <c r="B449" t="s">
        <v>715</v>
      </c>
      <c r="C449" t="s">
        <v>24</v>
      </c>
      <c r="D449" t="s">
        <v>238</v>
      </c>
      <c r="E449" t="s">
        <v>45</v>
      </c>
      <c r="F449" t="s">
        <v>3</v>
      </c>
      <c r="G449" t="str">
        <f>HYPERLINK("https://www.facebook.com/1443350994098887")</f>
        <v>https://www.facebook.com/1443350994098887</v>
      </c>
      <c r="H449" t="s">
        <v>28</v>
      </c>
      <c r="I449" t="s">
        <v>1383</v>
      </c>
      <c r="K449" t="str">
        <f>HYPERLINK("https://www.facebook.com/100052720005362")</f>
        <v>https://www.facebook.com/100052720005362</v>
      </c>
      <c r="M449" t="s">
        <v>40</v>
      </c>
      <c r="N449" t="s">
        <v>31</v>
      </c>
      <c r="O449" t="s">
        <v>1383</v>
      </c>
      <c r="P449" t="str">
        <f>HYPERLINK("https://www.facebook.com/100052720005362")</f>
        <v>https://www.facebook.com/100052720005362</v>
      </c>
      <c r="R449" t="s">
        <v>32</v>
      </c>
      <c r="S449" t="s">
        <v>33</v>
      </c>
    </row>
    <row r="450" spans="1:20" ht="16">
      <c r="A450" t="s">
        <v>973</v>
      </c>
      <c r="B450" t="s">
        <v>1384</v>
      </c>
      <c r="C450" t="s">
        <v>805</v>
      </c>
      <c r="D450" t="s">
        <v>1385</v>
      </c>
      <c r="E450" t="s">
        <v>74</v>
      </c>
      <c r="F450" t="s">
        <v>3</v>
      </c>
      <c r="G450" t="str">
        <f>HYPERLINK("https://www.facebook.com/groups/123664454410121/posts/25471092279240656/?comment_id=25477274885289062")</f>
        <v>https://www.facebook.com/groups/123664454410121/posts/25471092279240656/?comment_id=25477274885289062</v>
      </c>
      <c r="H450" t="s">
        <v>28</v>
      </c>
      <c r="I450" t="s">
        <v>1386</v>
      </c>
      <c r="K450" t="str">
        <f>HYPERLINK("https://www.facebook.com/pfbid02NLCd1qXSNSQDN6HvbNC7p7ytfwPabmFobJeJXaQyVsXUkjQAvGxg5b3otU7KL6Vrl")</f>
        <v>https://www.facebook.com/pfbid02NLCd1qXSNSQDN6HvbNC7p7ytfwPabmFobJeJXaQyVsXUkjQAvGxg5b3otU7KL6Vrl</v>
      </c>
      <c r="M450" t="s">
        <v>30</v>
      </c>
      <c r="N450" t="s">
        <v>31</v>
      </c>
      <c r="O450" t="s">
        <v>1387</v>
      </c>
      <c r="P450" t="str">
        <f>HYPERLINK("https://www.facebook.com/123664454410121")</f>
        <v>https://www.facebook.com/123664454410121</v>
      </c>
      <c r="Q450">
        <v>2367</v>
      </c>
      <c r="R450" t="s">
        <v>32</v>
      </c>
      <c r="S450" t="s">
        <v>33</v>
      </c>
      <c r="T450" t="s">
        <v>34</v>
      </c>
    </row>
    <row r="451" spans="1:21" ht="16">
      <c r="A451" t="s">
        <v>973</v>
      </c>
      <c r="B451" t="s">
        <v>1388</v>
      </c>
      <c r="C451" t="s">
        <v>24</v>
      </c>
      <c r="D451" t="s">
        <v>254</v>
      </c>
      <c r="E451" t="s">
        <v>45</v>
      </c>
      <c r="F451" t="s">
        <v>46</v>
      </c>
      <c r="G451" t="str">
        <f>HYPERLINK("https://www.facebook.com/2719918438371386")</f>
        <v>https://www.facebook.com/2719918438371386</v>
      </c>
      <c r="H451" t="s">
        <v>28</v>
      </c>
      <c r="I451" t="s">
        <v>1389</v>
      </c>
      <c r="K451" t="str">
        <f>HYPERLINK("https://www.facebook.com/100010597692196")</f>
        <v>https://www.facebook.com/100010597692196</v>
      </c>
      <c r="M451" t="s">
        <v>40</v>
      </c>
      <c r="N451" t="s">
        <v>31</v>
      </c>
      <c r="O451" t="s">
        <v>1389</v>
      </c>
      <c r="P451" t="str">
        <f>HYPERLINK("https://www.facebook.com/100010597692196")</f>
        <v>https://www.facebook.com/100010597692196</v>
      </c>
      <c r="R451" t="s">
        <v>32</v>
      </c>
      <c r="S451" t="s">
        <v>33</v>
      </c>
      <c r="T451" t="s">
        <v>34</v>
      </c>
      <c r="U451" t="s">
        <v>309</v>
      </c>
    </row>
    <row r="452" spans="1:22" ht="16">
      <c r="A452" t="s">
        <v>973</v>
      </c>
      <c r="B452" t="s">
        <v>1390</v>
      </c>
      <c r="C452" t="s">
        <v>80</v>
      </c>
      <c r="D452" t="s">
        <v>1391</v>
      </c>
      <c r="E452" t="s">
        <v>74</v>
      </c>
      <c r="F452" t="s">
        <v>3</v>
      </c>
      <c r="G452" t="str">
        <f>HYPERLINK("https://www.facebook.com/westukrnews/posts/pfbid05KpJzZfAmc7DG6HMNPojmy3FDtYQBjx33JCcksAdDUDGcWNSDnn66BSqDiowXeWol?comment_id=728696330189884")</f>
        <v>https://www.facebook.com/westukrnews/posts/pfbid05KpJzZfAmc7DG6HMNPojmy3FDtYQBjx33JCcksAdDUDGcWNSDnn66BSqDiowXeWol?comment_id=728696330189884</v>
      </c>
      <c r="H452" t="s">
        <v>28</v>
      </c>
      <c r="I452" t="s">
        <v>1392</v>
      </c>
      <c r="K452" t="str">
        <f>HYPERLINK("https://www.facebook.com/100015921017164")</f>
        <v>https://www.facebook.com/100015921017164</v>
      </c>
      <c r="M452" t="s">
        <v>30</v>
      </c>
      <c r="N452" t="s">
        <v>31</v>
      </c>
      <c r="O452" t="s">
        <v>813</v>
      </c>
      <c r="P452" t="str">
        <f>HYPERLINK("https://www.facebook.com/264234810584424")</f>
        <v>https://www.facebook.com/264234810584424</v>
      </c>
      <c r="Q452">
        <v>559985</v>
      </c>
      <c r="R452" t="s">
        <v>32</v>
      </c>
      <c r="S452" t="s">
        <v>33</v>
      </c>
      <c r="T452" t="s">
        <v>34</v>
      </c>
      <c r="U452" t="s">
        <v>487</v>
      </c>
      <c r="V452" t="s">
        <v>814</v>
      </c>
    </row>
    <row r="453" spans="1:21" ht="16">
      <c r="A453" t="s">
        <v>973</v>
      </c>
      <c r="B453" t="s">
        <v>1393</v>
      </c>
      <c r="C453" t="s">
        <v>768</v>
      </c>
      <c r="D453" t="s">
        <v>1394</v>
      </c>
      <c r="E453" t="s">
        <v>74</v>
      </c>
      <c r="F453" t="s">
        <v>3</v>
      </c>
      <c r="G453" t="str">
        <f>HYPERLINK("https://www.facebook.com/permalink.php?story_fbid=pfbid0szG6DqrsnXjsMxAE2TRzSyQSFAtZtYFcgHfmnDRpXy1wejfFXLYfZMEiwsi7RmMjl&amp;id=100090843379637&amp;comment_id=1415890290312533")</f>
        <v>https://www.facebook.com/permalink.php?story_fbid=pfbid0szG6DqrsnXjsMxAE2TRzSyQSFAtZtYFcgHfmnDRpXy1wejfFXLYfZMEiwsi7RmMjl&amp;id=100090843379637&amp;comment_id=1415890290312533</v>
      </c>
      <c r="H453" t="s">
        <v>28</v>
      </c>
      <c r="I453" t="s">
        <v>1395</v>
      </c>
      <c r="K453" t="str">
        <f>HYPERLINK("https://www.facebook.com/100048330737339")</f>
        <v>https://www.facebook.com/100048330737339</v>
      </c>
      <c r="M453" t="s">
        <v>30</v>
      </c>
      <c r="N453" t="s">
        <v>31</v>
      </c>
      <c r="O453" t="s">
        <v>876</v>
      </c>
      <c r="P453" t="str">
        <f>HYPERLINK("https://www.facebook.com/100090843379637")</f>
        <v>https://www.facebook.com/100090843379637</v>
      </c>
      <c r="R453" t="s">
        <v>32</v>
      </c>
      <c r="S453" t="s">
        <v>85</v>
      </c>
      <c r="T453" t="s">
        <v>34</v>
      </c>
      <c r="U453" t="s">
        <v>309</v>
      </c>
    </row>
    <row r="454" spans="1:22" ht="16">
      <c r="A454" t="s">
        <v>973</v>
      </c>
      <c r="B454" t="s">
        <v>1396</v>
      </c>
      <c r="C454" t="s">
        <v>80</v>
      </c>
      <c r="D454" t="s">
        <v>1397</v>
      </c>
      <c r="E454" t="s">
        <v>74</v>
      </c>
      <c r="F454" t="s">
        <v>3</v>
      </c>
      <c r="G454" t="str">
        <f>HYPERLINK("https://www.facebook.com/permalink.php?story_fbid=pfbid0o4Et6HrEE5ifbNf1WoRrPde8qq1tk5bZyoQXFcEkcT9YM2EXc2PiazgXwJcmggJ7l&amp;id=100006975138432&amp;comment_id=1708261270155450")</f>
        <v>https://www.facebook.com/permalink.php?story_fbid=pfbid0o4Et6HrEE5ifbNf1WoRrPde8qq1tk5bZyoQXFcEkcT9YM2EXc2PiazgXwJcmggJ7l&amp;id=100006975138432&amp;comment_id=1708261270155450</v>
      </c>
      <c r="H454" t="s">
        <v>28</v>
      </c>
      <c r="I454" t="s">
        <v>1398</v>
      </c>
      <c r="K454" t="str">
        <f>HYPERLINK("https://www.facebook.com/100033555224461")</f>
        <v>https://www.facebook.com/100033555224461</v>
      </c>
      <c r="M454" t="s">
        <v>40</v>
      </c>
      <c r="N454" t="s">
        <v>31</v>
      </c>
      <c r="O454" t="s">
        <v>1399</v>
      </c>
      <c r="P454" t="str">
        <f>HYPERLINK("https://www.facebook.com/100006975138432")</f>
        <v>https://www.facebook.com/100006975138432</v>
      </c>
      <c r="R454" t="s">
        <v>32</v>
      </c>
      <c r="S454" t="s">
        <v>85</v>
      </c>
      <c r="T454" t="s">
        <v>34</v>
      </c>
      <c r="U454" t="s">
        <v>58</v>
      </c>
      <c r="V454" t="s">
        <v>58</v>
      </c>
    </row>
    <row r="455" spans="1:22" ht="16">
      <c r="A455" t="s">
        <v>973</v>
      </c>
      <c r="B455" t="s">
        <v>1400</v>
      </c>
      <c r="C455" t="s">
        <v>80</v>
      </c>
      <c r="D455" t="s">
        <v>1401</v>
      </c>
      <c r="E455" t="s">
        <v>74</v>
      </c>
      <c r="F455" t="s">
        <v>3</v>
      </c>
      <c r="G455" t="str">
        <f>HYPERLINK("https://www.facebook.com/westukrnews/posts/pfbid05KpJzZfAmc7DG6HMNPojmy3FDtYQBjx33JCcksAdDUDGcWNSDnn66BSqDiowXeWol?comment_id=1570643977554978")</f>
        <v>https://www.facebook.com/westukrnews/posts/pfbid05KpJzZfAmc7DG6HMNPojmy3FDtYQBjx33JCcksAdDUDGcWNSDnn66BSqDiowXeWol?comment_id=1570643977554978</v>
      </c>
      <c r="H455" t="s">
        <v>28</v>
      </c>
      <c r="I455" t="s">
        <v>1402</v>
      </c>
      <c r="J455" t="s">
        <v>1403</v>
      </c>
      <c r="K455" t="str">
        <f>HYPERLINK("https://www.facebook.com/100021623049120")</f>
        <v>https://www.facebook.com/100021623049120</v>
      </c>
      <c r="M455" t="s">
        <v>30</v>
      </c>
      <c r="N455" t="s">
        <v>31</v>
      </c>
      <c r="O455" t="s">
        <v>813</v>
      </c>
      <c r="P455" t="str">
        <f>HYPERLINK("https://www.facebook.com/264234810584424")</f>
        <v>https://www.facebook.com/264234810584424</v>
      </c>
      <c r="Q455">
        <v>559985</v>
      </c>
      <c r="R455" t="s">
        <v>32</v>
      </c>
      <c r="S455" t="s">
        <v>33</v>
      </c>
      <c r="T455" t="s">
        <v>240</v>
      </c>
      <c r="U455" t="s">
        <v>572</v>
      </c>
      <c r="V455" t="s">
        <v>1404</v>
      </c>
    </row>
    <row r="456" spans="1:22" ht="16">
      <c r="A456" t="s">
        <v>973</v>
      </c>
      <c r="B456" t="s">
        <v>1405</v>
      </c>
      <c r="C456" t="s">
        <v>24</v>
      </c>
      <c r="D456" t="s">
        <v>238</v>
      </c>
      <c r="E456" t="s">
        <v>45</v>
      </c>
      <c r="F456" t="s">
        <v>3</v>
      </c>
      <c r="G456" t="str">
        <f>HYPERLINK("https://www.facebook.com/1971338877067381")</f>
        <v>https://www.facebook.com/1971338877067381</v>
      </c>
      <c r="H456" t="s">
        <v>28</v>
      </c>
      <c r="I456" t="s">
        <v>1406</v>
      </c>
      <c r="K456" t="str">
        <f>HYPERLINK("https://www.facebook.com/100025738641834")</f>
        <v>https://www.facebook.com/100025738641834</v>
      </c>
      <c r="M456" t="s">
        <v>40</v>
      </c>
      <c r="N456" t="s">
        <v>31</v>
      </c>
      <c r="O456" t="s">
        <v>1406</v>
      </c>
      <c r="P456" t="str">
        <f>HYPERLINK("https://www.facebook.com/100025738641834")</f>
        <v>https://www.facebook.com/100025738641834</v>
      </c>
      <c r="R456" t="s">
        <v>32</v>
      </c>
      <c r="S456" t="s">
        <v>33</v>
      </c>
      <c r="T456" t="s">
        <v>34</v>
      </c>
      <c r="U456" t="s">
        <v>304</v>
      </c>
      <c r="V456" t="s">
        <v>1407</v>
      </c>
    </row>
    <row r="457" spans="1:22" ht="16">
      <c r="A457" t="s">
        <v>973</v>
      </c>
      <c r="B457" t="s">
        <v>1405</v>
      </c>
      <c r="C457" t="s">
        <v>80</v>
      </c>
      <c r="D457" t="s">
        <v>1408</v>
      </c>
      <c r="E457" t="s">
        <v>74</v>
      </c>
      <c r="F457" t="s">
        <v>3</v>
      </c>
      <c r="G457" t="str">
        <f>HYPERLINK("https://www.facebook.com/permalink.php?story_fbid=pfbid0GQqyWdu5AkUiPuLJmqV1bkJFBqWyj89miKWCSPXkWXUbXjhWA1XY9CwgoQdbbVJEl&amp;id=100078734472661&amp;comment_id=2239103053562592")</f>
        <v>https://www.facebook.com/permalink.php?story_fbid=pfbid0GQqyWdu5AkUiPuLJmqV1bkJFBqWyj89miKWCSPXkWXUbXjhWA1XY9CwgoQdbbVJEl&amp;id=100078734472661&amp;comment_id=2239103053562592</v>
      </c>
      <c r="H457" t="s">
        <v>28</v>
      </c>
      <c r="I457" t="s">
        <v>1409</v>
      </c>
      <c r="K457" t="str">
        <f>HYPERLINK("https://www.facebook.com/100084518242051")</f>
        <v>https://www.facebook.com/100084518242051</v>
      </c>
      <c r="M457" t="s">
        <v>40</v>
      </c>
      <c r="N457" t="s">
        <v>31</v>
      </c>
      <c r="O457" t="s">
        <v>1410</v>
      </c>
      <c r="P457" t="str">
        <f>HYPERLINK("https://www.facebook.com/100078734472661")</f>
        <v>https://www.facebook.com/100078734472661</v>
      </c>
      <c r="R457" t="s">
        <v>32</v>
      </c>
      <c r="S457" t="s">
        <v>85</v>
      </c>
      <c r="T457" t="s">
        <v>34</v>
      </c>
      <c r="U457" t="s">
        <v>1411</v>
      </c>
      <c r="V457" t="s">
        <v>1412</v>
      </c>
    </row>
    <row r="458" spans="1:22" ht="16">
      <c r="A458" t="s">
        <v>973</v>
      </c>
      <c r="B458" t="s">
        <v>1413</v>
      </c>
      <c r="C458" t="s">
        <v>24</v>
      </c>
      <c r="D458" t="s">
        <v>238</v>
      </c>
      <c r="E458" t="s">
        <v>45</v>
      </c>
      <c r="F458" t="s">
        <v>3</v>
      </c>
      <c r="G458" t="str">
        <f>HYPERLINK("https://www.facebook.com/3309027949256848")</f>
        <v>https://www.facebook.com/3309027949256848</v>
      </c>
      <c r="H458" t="s">
        <v>28</v>
      </c>
      <c r="I458" t="s">
        <v>1414</v>
      </c>
      <c r="K458" t="str">
        <f>HYPERLINK("https://www.facebook.com/100004490257022")</f>
        <v>https://www.facebook.com/100004490257022</v>
      </c>
      <c r="M458" t="s">
        <v>30</v>
      </c>
      <c r="N458" t="s">
        <v>31</v>
      </c>
      <c r="O458" t="s">
        <v>1414</v>
      </c>
      <c r="P458" t="str">
        <f>HYPERLINK("https://www.facebook.com/100004490257022")</f>
        <v>https://www.facebook.com/100004490257022</v>
      </c>
      <c r="R458" t="s">
        <v>32</v>
      </c>
      <c r="S458" t="s">
        <v>33</v>
      </c>
      <c r="T458" t="s">
        <v>240</v>
      </c>
      <c r="U458" t="s">
        <v>366</v>
      </c>
      <c r="V458" t="s">
        <v>835</v>
      </c>
    </row>
    <row r="459" spans="1:22" ht="16">
      <c r="A459" t="s">
        <v>973</v>
      </c>
      <c r="B459" t="s">
        <v>1415</v>
      </c>
      <c r="C459" t="s">
        <v>24</v>
      </c>
      <c r="D459" t="s">
        <v>824</v>
      </c>
      <c r="E459" t="s">
        <v>45</v>
      </c>
      <c r="F459" t="s">
        <v>46</v>
      </c>
      <c r="G459" t="str">
        <f>HYPERLINK("https://www.facebook.com/1946764222713907")</f>
        <v>https://www.facebook.com/1946764222713907</v>
      </c>
      <c r="H459" t="s">
        <v>28</v>
      </c>
      <c r="I459" t="s">
        <v>1416</v>
      </c>
      <c r="J459" t="s">
        <v>1417</v>
      </c>
      <c r="K459" t="str">
        <f>HYPERLINK("https://www.facebook.com/100021410445102")</f>
        <v>https://www.facebook.com/100021410445102</v>
      </c>
      <c r="M459" t="s">
        <v>40</v>
      </c>
      <c r="N459" t="s">
        <v>31</v>
      </c>
      <c r="O459" t="s">
        <v>1416</v>
      </c>
      <c r="P459" t="str">
        <f>HYPERLINK("https://www.facebook.com/100021410445102")</f>
        <v>https://www.facebook.com/100021410445102</v>
      </c>
      <c r="R459" t="s">
        <v>32</v>
      </c>
      <c r="S459" t="s">
        <v>33</v>
      </c>
      <c r="T459" t="s">
        <v>34</v>
      </c>
      <c r="U459" t="s">
        <v>542</v>
      </c>
      <c r="V459" t="s">
        <v>1418</v>
      </c>
    </row>
    <row r="460" spans="1:22" ht="16">
      <c r="A460" t="s">
        <v>973</v>
      </c>
      <c r="B460" t="s">
        <v>1419</v>
      </c>
      <c r="C460" t="s">
        <v>24</v>
      </c>
      <c r="D460" t="s">
        <v>44</v>
      </c>
      <c r="E460" t="s">
        <v>45</v>
      </c>
      <c r="F460" t="s">
        <v>46</v>
      </c>
      <c r="G460" t="str">
        <f>HYPERLINK("https://www.facebook.com/25376248798720548")</f>
        <v>https://www.facebook.com/25376248798720548</v>
      </c>
      <c r="H460" t="s">
        <v>28</v>
      </c>
      <c r="I460" t="s">
        <v>1036</v>
      </c>
      <c r="K460" t="str">
        <f>HYPERLINK("https://www.facebook.com/100008753318448")</f>
        <v>https://www.facebook.com/100008753318448</v>
      </c>
      <c r="M460" t="s">
        <v>30</v>
      </c>
      <c r="N460" t="s">
        <v>31</v>
      </c>
      <c r="O460" t="s">
        <v>1420</v>
      </c>
      <c r="P460" t="str">
        <f>HYPERLINK("https://www.facebook.com/430266480412125")</f>
        <v>https://www.facebook.com/430266480412125</v>
      </c>
      <c r="Q460">
        <v>1871</v>
      </c>
      <c r="R460" t="s">
        <v>32</v>
      </c>
      <c r="S460" t="s">
        <v>33</v>
      </c>
      <c r="T460" t="s">
        <v>86</v>
      </c>
      <c r="U460" t="s">
        <v>127</v>
      </c>
      <c r="V460" t="s">
        <v>128</v>
      </c>
    </row>
    <row r="461" spans="1:22" ht="16">
      <c r="A461" t="s">
        <v>973</v>
      </c>
      <c r="B461" t="s">
        <v>1419</v>
      </c>
      <c r="C461" t="s">
        <v>24</v>
      </c>
      <c r="D461" t="s">
        <v>44</v>
      </c>
      <c r="E461" t="s">
        <v>45</v>
      </c>
      <c r="F461" t="s">
        <v>46</v>
      </c>
      <c r="G461" t="str">
        <f>HYPERLINK("https://www.facebook.com/3048817518645859")</f>
        <v>https://www.facebook.com/3048817518645859</v>
      </c>
      <c r="H461" t="s">
        <v>28</v>
      </c>
      <c r="I461" t="s">
        <v>1036</v>
      </c>
      <c r="K461" t="str">
        <f>HYPERLINK("https://www.facebook.com/100008753318448")</f>
        <v>https://www.facebook.com/100008753318448</v>
      </c>
      <c r="M461" t="s">
        <v>30</v>
      </c>
      <c r="N461" t="s">
        <v>31</v>
      </c>
      <c r="O461" t="s">
        <v>1421</v>
      </c>
      <c r="P461" t="str">
        <f>HYPERLINK("https://www.facebook.com/315710265289945")</f>
        <v>https://www.facebook.com/315710265289945</v>
      </c>
      <c r="Q461">
        <v>81974</v>
      </c>
      <c r="R461" t="s">
        <v>32</v>
      </c>
      <c r="S461" t="s">
        <v>33</v>
      </c>
      <c r="T461" t="s">
        <v>86</v>
      </c>
      <c r="U461" t="s">
        <v>127</v>
      </c>
      <c r="V461" t="s">
        <v>128</v>
      </c>
    </row>
    <row r="462" spans="1:22" ht="16">
      <c r="A462" t="s">
        <v>973</v>
      </c>
      <c r="B462" t="s">
        <v>1419</v>
      </c>
      <c r="C462" t="s">
        <v>24</v>
      </c>
      <c r="D462" t="s">
        <v>44</v>
      </c>
      <c r="E462" t="s">
        <v>45</v>
      </c>
      <c r="F462" t="s">
        <v>46</v>
      </c>
      <c r="G462" t="str">
        <f>HYPERLINK("https://www.facebook.com/1834526880567713")</f>
        <v>https://www.facebook.com/1834526880567713</v>
      </c>
      <c r="H462" t="s">
        <v>28</v>
      </c>
      <c r="I462" t="s">
        <v>1036</v>
      </c>
      <c r="K462" t="str">
        <f>HYPERLINK("https://www.facebook.com/100008753318448")</f>
        <v>https://www.facebook.com/100008753318448</v>
      </c>
      <c r="M462" t="s">
        <v>30</v>
      </c>
      <c r="N462" t="s">
        <v>31</v>
      </c>
      <c r="O462" t="s">
        <v>1422</v>
      </c>
      <c r="P462" t="str">
        <f>HYPERLINK("https://www.facebook.com/111944649492620")</f>
        <v>https://www.facebook.com/111944649492620</v>
      </c>
      <c r="Q462">
        <v>11742</v>
      </c>
      <c r="R462" t="s">
        <v>32</v>
      </c>
      <c r="S462" t="s">
        <v>33</v>
      </c>
      <c r="T462" t="s">
        <v>86</v>
      </c>
      <c r="U462" t="s">
        <v>127</v>
      </c>
      <c r="V462" t="s">
        <v>128</v>
      </c>
    </row>
    <row r="463" spans="1:22" ht="16">
      <c r="A463" t="s">
        <v>973</v>
      </c>
      <c r="B463" t="s">
        <v>1423</v>
      </c>
      <c r="C463" t="s">
        <v>24</v>
      </c>
      <c r="D463" t="s">
        <v>254</v>
      </c>
      <c r="E463" t="s">
        <v>45</v>
      </c>
      <c r="F463" t="s">
        <v>46</v>
      </c>
      <c r="G463" t="str">
        <f>HYPERLINK("https://www.facebook.com/961857276265768")</f>
        <v>https://www.facebook.com/961857276265768</v>
      </c>
      <c r="H463" t="s">
        <v>28</v>
      </c>
      <c r="I463" t="s">
        <v>1424</v>
      </c>
      <c r="K463" t="str">
        <f>HYPERLINK("https://www.facebook.com/100073245139686")</f>
        <v>https://www.facebook.com/100073245139686</v>
      </c>
      <c r="M463" t="s">
        <v>40</v>
      </c>
      <c r="N463" t="s">
        <v>31</v>
      </c>
      <c r="O463" t="s">
        <v>1424</v>
      </c>
      <c r="P463" t="str">
        <f>HYPERLINK("https://www.facebook.com/100073245139686")</f>
        <v>https://www.facebook.com/100073245139686</v>
      </c>
      <c r="R463" t="s">
        <v>32</v>
      </c>
      <c r="S463" t="s">
        <v>33</v>
      </c>
      <c r="T463" t="s">
        <v>34</v>
      </c>
      <c r="U463" t="s">
        <v>542</v>
      </c>
      <c r="V463" t="s">
        <v>590</v>
      </c>
    </row>
    <row r="464" spans="1:22" ht="16">
      <c r="A464" t="s">
        <v>973</v>
      </c>
      <c r="B464" t="s">
        <v>1425</v>
      </c>
      <c r="C464" t="s">
        <v>80</v>
      </c>
      <c r="D464" t="s">
        <v>1426</v>
      </c>
      <c r="E464" t="s">
        <v>74</v>
      </c>
      <c r="F464" t="s">
        <v>102</v>
      </c>
      <c r="G464" t="str">
        <f>HYPERLINK("https://www.facebook.com/westukrnews/posts/pfbid05KpJzZfAmc7DG6HMNPojmy3FDtYQBjx33JCcksAdDUDGcWNSDnn66BSqDiowXeWol?comment_id=1528423718220870")</f>
        <v>https://www.facebook.com/westukrnews/posts/pfbid05KpJzZfAmc7DG6HMNPojmy3FDtYQBjx33JCcksAdDUDGcWNSDnn66BSqDiowXeWol?comment_id=1528423718220870</v>
      </c>
      <c r="H464" t="s">
        <v>28</v>
      </c>
      <c r="I464" t="s">
        <v>1427</v>
      </c>
      <c r="K464" t="str">
        <f>HYPERLINK("https://www.facebook.com/100032793392074")</f>
        <v>https://www.facebook.com/100032793392074</v>
      </c>
      <c r="M464" t="s">
        <v>30</v>
      </c>
      <c r="N464" t="s">
        <v>31</v>
      </c>
      <c r="O464" t="s">
        <v>813</v>
      </c>
      <c r="P464" t="str">
        <f>HYPERLINK("https://www.facebook.com/264234810584424")</f>
        <v>https://www.facebook.com/264234810584424</v>
      </c>
      <c r="Q464">
        <v>559985</v>
      </c>
      <c r="R464" t="s">
        <v>32</v>
      </c>
      <c r="S464" t="s">
        <v>85</v>
      </c>
      <c r="T464" t="s">
        <v>34</v>
      </c>
      <c r="U464" t="s">
        <v>487</v>
      </c>
      <c r="V464" t="s">
        <v>814</v>
      </c>
    </row>
    <row r="465" spans="1:22" ht="16">
      <c r="A465" t="s">
        <v>973</v>
      </c>
      <c r="B465" t="s">
        <v>1428</v>
      </c>
      <c r="C465" t="s">
        <v>72</v>
      </c>
      <c r="D465" t="s">
        <v>1429</v>
      </c>
      <c r="E465" t="s">
        <v>74</v>
      </c>
      <c r="F465" t="s">
        <v>3</v>
      </c>
      <c r="G465" t="str">
        <f>HYPERLINK("https://www.facebook.com/permalink.php?story_fbid=pfbid0oe6Um7pN276QoEDBwEx2FQ9wPdrmtpQaiGt2p6g9ZdVtZnKSNTt7QSoobVSCty7ol&amp;id=100011701954282&amp;comment_id=925142990150993")</f>
        <v>https://www.facebook.com/permalink.php?story_fbid=pfbid0oe6Um7pN276QoEDBwEx2FQ9wPdrmtpQaiGt2p6g9ZdVtZnKSNTt7QSoobVSCty7ol&amp;id=100011701954282&amp;comment_id=925142990150993</v>
      </c>
      <c r="H465" t="s">
        <v>28</v>
      </c>
      <c r="I465" t="s">
        <v>1430</v>
      </c>
      <c r="J465" t="s">
        <v>1431</v>
      </c>
      <c r="K465" t="str">
        <f>HYPERLINK("https://www.facebook.com/100003466291302")</f>
        <v>https://www.facebook.com/100003466291302</v>
      </c>
      <c r="M465" t="s">
        <v>40</v>
      </c>
      <c r="N465" t="s">
        <v>31</v>
      </c>
      <c r="O465" t="s">
        <v>914</v>
      </c>
      <c r="P465" t="str">
        <f>HYPERLINK("https://www.facebook.com/pfbid0312VF7RoNSQ1Azu25ZEGWbr8a71v5u6FmfqGthVccJVq4xkkvk1qrGhkJ2AZGeApRl")</f>
        <v>https://www.facebook.com/pfbid0312VF7RoNSQ1Azu25ZEGWbr8a71v5u6FmfqGthVccJVq4xkkvk1qrGhkJ2AZGeApRl</v>
      </c>
      <c r="R465" t="s">
        <v>32</v>
      </c>
      <c r="S465" t="s">
        <v>33</v>
      </c>
      <c r="T465" t="s">
        <v>34</v>
      </c>
      <c r="U465" t="s">
        <v>58</v>
      </c>
      <c r="V465" t="s">
        <v>58</v>
      </c>
    </row>
    <row r="466" spans="1:22" ht="16">
      <c r="A466" t="s">
        <v>973</v>
      </c>
      <c r="B466" t="s">
        <v>1428</v>
      </c>
      <c r="C466" t="s">
        <v>24</v>
      </c>
      <c r="D466" t="s">
        <v>254</v>
      </c>
      <c r="E466" t="s">
        <v>45</v>
      </c>
      <c r="F466" t="s">
        <v>46</v>
      </c>
      <c r="G466" t="str">
        <f>HYPERLINK("https://www.facebook.com/916063111028163")</f>
        <v>https://www.facebook.com/916063111028163</v>
      </c>
      <c r="H466" t="s">
        <v>28</v>
      </c>
      <c r="I466" t="s">
        <v>1410</v>
      </c>
      <c r="K466" t="str">
        <f>HYPERLINK("https://www.facebook.com/100078734472661")</f>
        <v>https://www.facebook.com/100078734472661</v>
      </c>
      <c r="M466" t="s">
        <v>30</v>
      </c>
      <c r="N466" t="s">
        <v>31</v>
      </c>
      <c r="O466" t="s">
        <v>1410</v>
      </c>
      <c r="P466" t="str">
        <f>HYPERLINK("https://www.facebook.com/100078734472661")</f>
        <v>https://www.facebook.com/100078734472661</v>
      </c>
      <c r="R466" t="s">
        <v>32</v>
      </c>
      <c r="S466" t="s">
        <v>33</v>
      </c>
      <c r="T466" t="s">
        <v>34</v>
      </c>
      <c r="U466" t="s">
        <v>1411</v>
      </c>
      <c r="V466" t="s">
        <v>1412</v>
      </c>
    </row>
    <row r="467" spans="1:22" ht="16">
      <c r="A467" t="s">
        <v>973</v>
      </c>
      <c r="B467" t="s">
        <v>1432</v>
      </c>
      <c r="C467" t="s">
        <v>80</v>
      </c>
      <c r="D467" t="s">
        <v>1433</v>
      </c>
      <c r="E467" t="s">
        <v>74</v>
      </c>
      <c r="F467" t="s">
        <v>3</v>
      </c>
      <c r="G467" t="str">
        <f>HYPERLINK("https://www.facebook.com/westukrnews/posts/pfbid05KpJzZfAmc7DG6HMNPojmy3FDtYQBjx33JCcksAdDUDGcWNSDnn66BSqDiowXeWol?comment_id=1102046378722432")</f>
        <v>https://www.facebook.com/westukrnews/posts/pfbid05KpJzZfAmc7DG6HMNPojmy3FDtYQBjx33JCcksAdDUDGcWNSDnn66BSqDiowXeWol?comment_id=1102046378722432</v>
      </c>
      <c r="H467" t="s">
        <v>28</v>
      </c>
      <c r="I467" t="s">
        <v>1434</v>
      </c>
      <c r="J467" t="s">
        <v>1435</v>
      </c>
      <c r="K467" t="str">
        <f>HYPERLINK("https://www.facebook.com/100030607129765")</f>
        <v>https://www.facebook.com/100030607129765</v>
      </c>
      <c r="L467">
        <v>923</v>
      </c>
      <c r="M467" t="s">
        <v>40</v>
      </c>
      <c r="N467" t="s">
        <v>31</v>
      </c>
      <c r="O467" t="s">
        <v>813</v>
      </c>
      <c r="P467" t="str">
        <f>HYPERLINK("https://www.facebook.com/264234810584424")</f>
        <v>https://www.facebook.com/264234810584424</v>
      </c>
      <c r="Q467">
        <v>559985</v>
      </c>
      <c r="R467" t="s">
        <v>32</v>
      </c>
      <c r="S467" t="s">
        <v>33</v>
      </c>
      <c r="T467" t="s">
        <v>34</v>
      </c>
      <c r="U467" t="s">
        <v>167</v>
      </c>
      <c r="V467" t="s">
        <v>1436</v>
      </c>
    </row>
    <row r="468" spans="1:22" ht="16">
      <c r="A468" t="s">
        <v>973</v>
      </c>
      <c r="B468" t="s">
        <v>1432</v>
      </c>
      <c r="C468" t="s">
        <v>72</v>
      </c>
      <c r="D468" t="s">
        <v>1437</v>
      </c>
      <c r="E468" t="s">
        <v>74</v>
      </c>
      <c r="F468" t="s">
        <v>3</v>
      </c>
      <c r="G468" t="str">
        <f>HYPERLINK("https://www.facebook.com/antonov.vs/posts/pfbid02aAhLm3RqwbmJgZcGx7n5tRbgsGDqyWNNkkWjPCPwUygpH1fanyzYZ2q7pPXhu8FBl?comment_id=34162711840043549")</f>
        <v>https://www.facebook.com/antonov.vs/posts/pfbid02aAhLm3RqwbmJgZcGx7n5tRbgsGDqyWNNkkWjPCPwUygpH1fanyzYZ2q7pPXhu8FBl?comment_id=34162711840043549</v>
      </c>
      <c r="H468" t="s">
        <v>28</v>
      </c>
      <c r="I468" t="s">
        <v>1438</v>
      </c>
      <c r="K468" t="str">
        <f>HYPERLINK("https://www.facebook.com/100023090975551")</f>
        <v>https://www.facebook.com/100023090975551</v>
      </c>
      <c r="M468" t="s">
        <v>30</v>
      </c>
      <c r="N468" t="s">
        <v>31</v>
      </c>
      <c r="O468" t="s">
        <v>1127</v>
      </c>
      <c r="P468" t="str">
        <f>HYPERLINK("https://www.facebook.com/100002292546539")</f>
        <v>https://www.facebook.com/100002292546539</v>
      </c>
      <c r="Q468">
        <v>485</v>
      </c>
      <c r="R468" t="s">
        <v>32</v>
      </c>
      <c r="S468" t="s">
        <v>33</v>
      </c>
      <c r="T468" t="s">
        <v>34</v>
      </c>
      <c r="U468" t="s">
        <v>1308</v>
      </c>
      <c r="V468" t="s">
        <v>1309</v>
      </c>
    </row>
    <row r="469" spans="1:22" ht="16">
      <c r="A469" t="s">
        <v>973</v>
      </c>
      <c r="B469" t="s">
        <v>1439</v>
      </c>
      <c r="C469" t="s">
        <v>24</v>
      </c>
      <c r="D469" t="s">
        <v>847</v>
      </c>
      <c r="E469" t="s">
        <v>45</v>
      </c>
      <c r="F469" t="s">
        <v>46</v>
      </c>
      <c r="G469" t="str">
        <f>HYPERLINK("https://www.facebook.com/2103884760446111")</f>
        <v>https://www.facebook.com/2103884760446111</v>
      </c>
      <c r="H469" t="s">
        <v>28</v>
      </c>
      <c r="I469" t="s">
        <v>1440</v>
      </c>
      <c r="K469" t="str">
        <f>HYPERLINK("https://www.facebook.com/100024738215823")</f>
        <v>https://www.facebook.com/100024738215823</v>
      </c>
      <c r="M469" t="s">
        <v>30</v>
      </c>
      <c r="N469" t="s">
        <v>31</v>
      </c>
      <c r="O469" t="s">
        <v>1440</v>
      </c>
      <c r="P469" t="str">
        <f>HYPERLINK("https://www.facebook.com/100024738215823")</f>
        <v>https://www.facebook.com/100024738215823</v>
      </c>
      <c r="R469" t="s">
        <v>32</v>
      </c>
      <c r="S469" t="s">
        <v>33</v>
      </c>
      <c r="T469" t="s">
        <v>34</v>
      </c>
      <c r="U469" t="s">
        <v>304</v>
      </c>
      <c r="V469" t="s">
        <v>1441</v>
      </c>
    </row>
    <row r="470" spans="1:22" ht="16">
      <c r="A470" t="s">
        <v>973</v>
      </c>
      <c r="B470" t="s">
        <v>1442</v>
      </c>
      <c r="C470" t="s">
        <v>80</v>
      </c>
      <c r="D470" t="s">
        <v>1443</v>
      </c>
      <c r="E470" t="s">
        <v>74</v>
      </c>
      <c r="F470" t="s">
        <v>3</v>
      </c>
      <c r="G470" t="str">
        <f>HYPERLINK("https://www.facebook.com/permalink.php?story_fbid=pfbid0o4Et6HrEE5ifbNf1WoRrPde8qq1tk5bZyoQXFcEkcT9YM2EXc2PiazgXwJcmggJ7l&amp;id=100006975138432&amp;comment_id=1597381828052081")</f>
        <v>https://www.facebook.com/permalink.php?story_fbid=pfbid0o4Et6HrEE5ifbNf1WoRrPde8qq1tk5bZyoQXFcEkcT9YM2EXc2PiazgXwJcmggJ7l&amp;id=100006975138432&amp;comment_id=1597381828052081</v>
      </c>
      <c r="H470" t="s">
        <v>28</v>
      </c>
      <c r="I470" t="s">
        <v>1444</v>
      </c>
      <c r="J470" t="s">
        <v>1445</v>
      </c>
      <c r="K470" t="str">
        <f>HYPERLINK("https://www.facebook.com/100015697621844")</f>
        <v>https://www.facebook.com/100015697621844</v>
      </c>
      <c r="M470" t="s">
        <v>30</v>
      </c>
      <c r="N470" t="s">
        <v>31</v>
      </c>
      <c r="O470" t="s">
        <v>1399</v>
      </c>
      <c r="P470" t="str">
        <f>HYPERLINK("https://www.facebook.com/100006975138432")</f>
        <v>https://www.facebook.com/100006975138432</v>
      </c>
      <c r="R470" t="s">
        <v>32</v>
      </c>
      <c r="S470" t="s">
        <v>57</v>
      </c>
      <c r="T470" t="s">
        <v>199</v>
      </c>
      <c r="U470" t="s">
        <v>391</v>
      </c>
      <c r="V470" t="s">
        <v>1446</v>
      </c>
    </row>
    <row r="471" spans="1:22" ht="16">
      <c r="A471" t="s">
        <v>973</v>
      </c>
      <c r="B471" t="s">
        <v>1447</v>
      </c>
      <c r="C471" t="s">
        <v>24</v>
      </c>
      <c r="D471" t="s">
        <v>1212</v>
      </c>
      <c r="E471" t="s">
        <v>45</v>
      </c>
      <c r="F471" t="s">
        <v>46</v>
      </c>
      <c r="G471" t="str">
        <f>HYPERLINK("https://www.facebook.com/1437504204482728")</f>
        <v>https://www.facebook.com/1437504204482728</v>
      </c>
      <c r="H471" t="s">
        <v>28</v>
      </c>
      <c r="I471" t="s">
        <v>1448</v>
      </c>
      <c r="K471" t="str">
        <f>HYPERLINK("https://www.facebook.com/100046694853970")</f>
        <v>https://www.facebook.com/100046694853970</v>
      </c>
      <c r="M471" t="s">
        <v>30</v>
      </c>
      <c r="N471" t="s">
        <v>31</v>
      </c>
      <c r="O471" t="s">
        <v>1448</v>
      </c>
      <c r="P471" t="str">
        <f>HYPERLINK("https://www.facebook.com/100046694853970")</f>
        <v>https://www.facebook.com/100046694853970</v>
      </c>
      <c r="R471" t="s">
        <v>32</v>
      </c>
      <c r="S471" t="s">
        <v>33</v>
      </c>
      <c r="T471" t="s">
        <v>34</v>
      </c>
      <c r="U471" t="s">
        <v>235</v>
      </c>
      <c r="V471" t="s">
        <v>1449</v>
      </c>
    </row>
    <row r="472" spans="1:22" ht="16">
      <c r="A472" t="s">
        <v>973</v>
      </c>
      <c r="B472" t="s">
        <v>1450</v>
      </c>
      <c r="C472" t="s">
        <v>24</v>
      </c>
      <c r="D472" t="s">
        <v>1451</v>
      </c>
      <c r="E472" t="s">
        <v>101</v>
      </c>
      <c r="F472" t="s">
        <v>46</v>
      </c>
      <c r="G472" t="str">
        <f>HYPERLINK("https://www.facebook.com/3859770297648835")</f>
        <v>https://www.facebook.com/3859770297648835</v>
      </c>
      <c r="H472" t="s">
        <v>28</v>
      </c>
      <c r="I472" t="s">
        <v>1452</v>
      </c>
      <c r="J472" t="s">
        <v>1453</v>
      </c>
      <c r="K472" t="str">
        <f>HYPERLINK("https://www.facebook.com/100000502568147")</f>
        <v>https://www.facebook.com/100000502568147</v>
      </c>
      <c r="M472" t="s">
        <v>30</v>
      </c>
      <c r="N472" t="s">
        <v>31</v>
      </c>
      <c r="O472" t="s">
        <v>1454</v>
      </c>
      <c r="P472" t="str">
        <f>HYPERLINK("https://www.facebook.com/1853706981588520")</f>
        <v>https://www.facebook.com/1853706981588520</v>
      </c>
      <c r="Q472">
        <v>10932</v>
      </c>
      <c r="R472" t="s">
        <v>32</v>
      </c>
      <c r="S472" t="s">
        <v>33</v>
      </c>
      <c r="T472" t="s">
        <v>34</v>
      </c>
      <c r="U472" t="s">
        <v>58</v>
      </c>
      <c r="V472" t="s">
        <v>58</v>
      </c>
    </row>
    <row r="473" spans="1:22" ht="16">
      <c r="A473" t="s">
        <v>973</v>
      </c>
      <c r="B473" t="s">
        <v>1455</v>
      </c>
      <c r="C473" t="s">
        <v>24</v>
      </c>
      <c r="D473" t="s">
        <v>44</v>
      </c>
      <c r="E473" t="s">
        <v>45</v>
      </c>
      <c r="F473" t="s">
        <v>46</v>
      </c>
      <c r="G473" t="str">
        <f>HYPERLINK("https://www.facebook.com/2870573406607412")</f>
        <v>https://www.facebook.com/2870573406607412</v>
      </c>
      <c r="H473" t="s">
        <v>28</v>
      </c>
      <c r="I473" t="s">
        <v>1456</v>
      </c>
      <c r="K473" t="str">
        <f>HYPERLINK("https://www.facebook.com/100009643414317")</f>
        <v>https://www.facebook.com/100009643414317</v>
      </c>
      <c r="M473" t="s">
        <v>40</v>
      </c>
      <c r="N473" t="s">
        <v>31</v>
      </c>
      <c r="O473" t="s">
        <v>1456</v>
      </c>
      <c r="P473" t="str">
        <f>HYPERLINK("https://www.facebook.com/100009643414317")</f>
        <v>https://www.facebook.com/100009643414317</v>
      </c>
      <c r="R473" t="s">
        <v>32</v>
      </c>
      <c r="S473" t="s">
        <v>33</v>
      </c>
      <c r="T473" t="s">
        <v>34</v>
      </c>
      <c r="U473" t="s">
        <v>408</v>
      </c>
      <c r="V473" t="s">
        <v>1457</v>
      </c>
    </row>
    <row r="474" spans="1:22" ht="16">
      <c r="A474" t="s">
        <v>973</v>
      </c>
      <c r="B474" t="s">
        <v>1458</v>
      </c>
      <c r="C474" t="s">
        <v>80</v>
      </c>
      <c r="D474" t="s">
        <v>1459</v>
      </c>
      <c r="E474" t="s">
        <v>74</v>
      </c>
      <c r="F474" t="s">
        <v>3</v>
      </c>
      <c r="G474" t="str">
        <f>HYPERLINK("https://www.facebook.com/permalink.php?story_fbid=pfbid0o4Et6HrEE5ifbNf1WoRrPde8qq1tk5bZyoQXFcEkcT9YM2EXc2PiazgXwJcmggJ7l&amp;id=100006975138432&amp;comment_id=1280918860651347&amp;reply_comment_id=1404650334769239")</f>
        <v>https://www.facebook.com/permalink.php?story_fbid=pfbid0o4Et6HrEE5ifbNf1WoRrPde8qq1tk5bZyoQXFcEkcT9YM2EXc2PiazgXwJcmggJ7l&amp;id=100006975138432&amp;comment_id=1280918860651347&amp;reply_comment_id=1404650334769239</v>
      </c>
      <c r="H474" t="s">
        <v>28</v>
      </c>
      <c r="I474" t="s">
        <v>1460</v>
      </c>
      <c r="K474" t="str">
        <f>HYPERLINK("https://www.facebook.com/100005280370016")</f>
        <v>https://www.facebook.com/100005280370016</v>
      </c>
      <c r="M474" t="s">
        <v>30</v>
      </c>
      <c r="N474" t="s">
        <v>31</v>
      </c>
      <c r="O474" t="s">
        <v>1399</v>
      </c>
      <c r="P474" t="str">
        <f>HYPERLINK("https://www.facebook.com/100006975138432")</f>
        <v>https://www.facebook.com/100006975138432</v>
      </c>
      <c r="R474" t="s">
        <v>32</v>
      </c>
      <c r="S474" t="s">
        <v>33</v>
      </c>
      <c r="T474" t="s">
        <v>34</v>
      </c>
      <c r="U474" t="s">
        <v>167</v>
      </c>
      <c r="V474" t="s">
        <v>189</v>
      </c>
    </row>
    <row r="475" spans="1:22" ht="16">
      <c r="A475" t="s">
        <v>973</v>
      </c>
      <c r="B475" t="s">
        <v>1461</v>
      </c>
      <c r="C475" t="s">
        <v>24</v>
      </c>
      <c r="D475" t="s">
        <v>44</v>
      </c>
      <c r="E475" t="s">
        <v>45</v>
      </c>
      <c r="F475" t="s">
        <v>46</v>
      </c>
      <c r="G475" t="str">
        <f>HYPERLINK("https://www.facebook.com/2068271763955559")</f>
        <v>https://www.facebook.com/2068271763955559</v>
      </c>
      <c r="H475" t="s">
        <v>28</v>
      </c>
      <c r="I475" t="s">
        <v>1462</v>
      </c>
      <c r="K475" t="str">
        <f>HYPERLINK("https://www.facebook.com/100023182672191")</f>
        <v>https://www.facebook.com/100023182672191</v>
      </c>
      <c r="M475" t="s">
        <v>40</v>
      </c>
      <c r="N475" t="s">
        <v>31</v>
      </c>
      <c r="O475" t="s">
        <v>1462</v>
      </c>
      <c r="P475" t="str">
        <f>HYPERLINK("https://www.facebook.com/100023182672191")</f>
        <v>https://www.facebook.com/100023182672191</v>
      </c>
      <c r="R475" t="s">
        <v>32</v>
      </c>
      <c r="S475" t="s">
        <v>33</v>
      </c>
      <c r="T475" t="s">
        <v>62</v>
      </c>
      <c r="U475" t="s">
        <v>1463</v>
      </c>
      <c r="V475" t="s">
        <v>1464</v>
      </c>
    </row>
    <row r="476" spans="1:22" ht="16">
      <c r="A476" t="s">
        <v>973</v>
      </c>
      <c r="B476" t="s">
        <v>1465</v>
      </c>
      <c r="C476" t="s">
        <v>80</v>
      </c>
      <c r="D476" t="s">
        <v>1466</v>
      </c>
      <c r="E476" t="s">
        <v>74</v>
      </c>
      <c r="F476" t="s">
        <v>3</v>
      </c>
      <c r="G476" t="str">
        <f>HYPERLINK("https://www.facebook.com/permalink.php?story_fbid=pfbid0o4Et6HrEE5ifbNf1WoRrPde8qq1tk5bZyoQXFcEkcT9YM2EXc2PiazgXwJcmggJ7l&amp;id=100006975138432&amp;comment_id=1280918860651347&amp;reply_comment_id=2066031237463905")</f>
        <v>https://www.facebook.com/permalink.php?story_fbid=pfbid0o4Et6HrEE5ifbNf1WoRrPde8qq1tk5bZyoQXFcEkcT9YM2EXc2PiazgXwJcmggJ7l&amp;id=100006975138432&amp;comment_id=1280918860651347&amp;reply_comment_id=2066031237463905</v>
      </c>
      <c r="H476" t="s">
        <v>28</v>
      </c>
      <c r="I476" t="s">
        <v>1460</v>
      </c>
      <c r="K476" t="str">
        <f>HYPERLINK("https://www.facebook.com/100005280370016")</f>
        <v>https://www.facebook.com/100005280370016</v>
      </c>
      <c r="M476" t="s">
        <v>30</v>
      </c>
      <c r="N476" t="s">
        <v>31</v>
      </c>
      <c r="O476" t="s">
        <v>1399</v>
      </c>
      <c r="P476" t="str">
        <f>HYPERLINK("https://www.facebook.com/100006975138432")</f>
        <v>https://www.facebook.com/100006975138432</v>
      </c>
      <c r="R476" t="s">
        <v>32</v>
      </c>
      <c r="S476" t="s">
        <v>33</v>
      </c>
      <c r="T476" t="s">
        <v>34</v>
      </c>
      <c r="U476" t="s">
        <v>167</v>
      </c>
      <c r="V476" t="s">
        <v>189</v>
      </c>
    </row>
    <row r="477" spans="1:22" ht="16">
      <c r="A477" t="s">
        <v>973</v>
      </c>
      <c r="B477" t="s">
        <v>1467</v>
      </c>
      <c r="C477" t="s">
        <v>80</v>
      </c>
      <c r="D477" t="s">
        <v>1468</v>
      </c>
      <c r="E477" t="s">
        <v>74</v>
      </c>
      <c r="F477" t="s">
        <v>3</v>
      </c>
      <c r="G477" t="str">
        <f>HYPERLINK("https://www.facebook.com/westukrnews/posts/pfbid05KpJzZfAmc7DG6HMNPojmy3FDtYQBjx33JCcksAdDUDGcWNSDnn66BSqDiowXeWol?comment_id=779618214743428")</f>
        <v>https://www.facebook.com/westukrnews/posts/pfbid05KpJzZfAmc7DG6HMNPojmy3FDtYQBjx33JCcksAdDUDGcWNSDnn66BSqDiowXeWol?comment_id=779618214743428</v>
      </c>
      <c r="H477" t="s">
        <v>28</v>
      </c>
      <c r="I477" t="s">
        <v>1469</v>
      </c>
      <c r="K477" t="str">
        <f>HYPERLINK("https://www.facebook.com/100017114808701")</f>
        <v>https://www.facebook.com/100017114808701</v>
      </c>
      <c r="M477" t="s">
        <v>30</v>
      </c>
      <c r="N477" t="s">
        <v>31</v>
      </c>
      <c r="O477" t="s">
        <v>813</v>
      </c>
      <c r="P477" t="str">
        <f>HYPERLINK("https://www.facebook.com/264234810584424")</f>
        <v>https://www.facebook.com/264234810584424</v>
      </c>
      <c r="Q477">
        <v>559985</v>
      </c>
      <c r="R477" t="s">
        <v>32</v>
      </c>
      <c r="S477" t="s">
        <v>33</v>
      </c>
      <c r="T477" t="s">
        <v>34</v>
      </c>
      <c r="U477" t="s">
        <v>167</v>
      </c>
      <c r="V477" t="s">
        <v>752</v>
      </c>
    </row>
    <row r="478" spans="1:22" ht="16">
      <c r="A478" t="s">
        <v>973</v>
      </c>
      <c r="B478" t="s">
        <v>1470</v>
      </c>
      <c r="C478" t="s">
        <v>80</v>
      </c>
      <c r="D478" t="s">
        <v>1471</v>
      </c>
      <c r="E478" t="s">
        <v>74</v>
      </c>
      <c r="F478" t="s">
        <v>3</v>
      </c>
      <c r="G478" t="str">
        <f>HYPERLINK("https://www.facebook.com/permalink.php?story_fbid=pfbid0o4Et6HrEE5ifbNf1WoRrPde8qq1tk5bZyoQXFcEkcT9YM2EXc2PiazgXwJcmggJ7l&amp;id=100006975138432&amp;comment_id=1280918860651347&amp;reply_comment_id=2093652514749972")</f>
        <v>https://www.facebook.com/permalink.php?story_fbid=pfbid0o4Et6HrEE5ifbNf1WoRrPde8qq1tk5bZyoQXFcEkcT9YM2EXc2PiazgXwJcmggJ7l&amp;id=100006975138432&amp;comment_id=1280918860651347&amp;reply_comment_id=2093652514749972</v>
      </c>
      <c r="H478" t="s">
        <v>28</v>
      </c>
      <c r="I478" t="s">
        <v>1399</v>
      </c>
      <c r="K478" t="str">
        <f>HYPERLINK("https://www.facebook.com/100006975138432")</f>
        <v>https://www.facebook.com/100006975138432</v>
      </c>
      <c r="M478" t="s">
        <v>40</v>
      </c>
      <c r="N478" t="s">
        <v>31</v>
      </c>
      <c r="O478" t="s">
        <v>1399</v>
      </c>
      <c r="P478" t="str">
        <f>HYPERLINK("https://www.facebook.com/100006975138432")</f>
        <v>https://www.facebook.com/100006975138432</v>
      </c>
      <c r="R478" t="s">
        <v>32</v>
      </c>
      <c r="S478" t="s">
        <v>85</v>
      </c>
      <c r="T478" t="s">
        <v>34</v>
      </c>
      <c r="U478" t="s">
        <v>58</v>
      </c>
      <c r="V478" t="s">
        <v>58</v>
      </c>
    </row>
    <row r="479" spans="1:22" ht="16">
      <c r="A479" t="s">
        <v>973</v>
      </c>
      <c r="B479" t="s">
        <v>1472</v>
      </c>
      <c r="C479" t="s">
        <v>24</v>
      </c>
      <c r="D479" t="s">
        <v>1473</v>
      </c>
      <c r="E479" t="s">
        <v>26</v>
      </c>
      <c r="F479" t="s">
        <v>55</v>
      </c>
      <c r="G479" t="str">
        <f>HYPERLINK("https://www.facebook.com/3811124395860480")</f>
        <v>https://www.facebook.com/3811124395860480</v>
      </c>
      <c r="H479" t="s">
        <v>28</v>
      </c>
      <c r="I479" t="s">
        <v>1474</v>
      </c>
      <c r="K479" t="str">
        <f>HYPERLINK("https://www.facebook.com/100008888704394")</f>
        <v>https://www.facebook.com/100008888704394</v>
      </c>
      <c r="M479" t="s">
        <v>30</v>
      </c>
      <c r="N479" t="s">
        <v>31</v>
      </c>
      <c r="O479" t="s">
        <v>1474</v>
      </c>
      <c r="P479" t="str">
        <f>HYPERLINK("https://www.facebook.com/100008888704394")</f>
        <v>https://www.facebook.com/100008888704394</v>
      </c>
      <c r="R479" t="s">
        <v>32</v>
      </c>
      <c r="S479" t="s">
        <v>33</v>
      </c>
      <c r="T479" t="s">
        <v>240</v>
      </c>
      <c r="U479" t="s">
        <v>1475</v>
      </c>
      <c r="V479" t="s">
        <v>1476</v>
      </c>
    </row>
    <row r="480" spans="1:22" ht="16">
      <c r="A480" t="s">
        <v>973</v>
      </c>
      <c r="B480" t="s">
        <v>1477</v>
      </c>
      <c r="C480" t="s">
        <v>80</v>
      </c>
      <c r="D480" t="s">
        <v>1478</v>
      </c>
      <c r="E480" t="s">
        <v>74</v>
      </c>
      <c r="F480" t="s">
        <v>3</v>
      </c>
      <c r="G480" t="str">
        <f>HYPERLINK("https://www.facebook.com/permalink.php?story_fbid=pfbid0o4Et6HrEE5ifbNf1WoRrPde8qq1tk5bZyoQXFcEkcT9YM2EXc2PiazgXwJcmggJ7l&amp;id=100006975138432&amp;comment_id=1280918860651347")</f>
        <v>https://www.facebook.com/permalink.php?story_fbid=pfbid0o4Et6HrEE5ifbNf1WoRrPde8qq1tk5bZyoQXFcEkcT9YM2EXc2PiazgXwJcmggJ7l&amp;id=100006975138432&amp;comment_id=1280918860651347</v>
      </c>
      <c r="H480" t="s">
        <v>28</v>
      </c>
      <c r="I480" t="s">
        <v>1460</v>
      </c>
      <c r="K480" t="str">
        <f>HYPERLINK("https://www.facebook.com/100005280370016")</f>
        <v>https://www.facebook.com/100005280370016</v>
      </c>
      <c r="M480" t="s">
        <v>30</v>
      </c>
      <c r="N480" t="s">
        <v>31</v>
      </c>
      <c r="O480" t="s">
        <v>1399</v>
      </c>
      <c r="P480" t="str">
        <f>HYPERLINK("https://www.facebook.com/100006975138432")</f>
        <v>https://www.facebook.com/100006975138432</v>
      </c>
      <c r="R480" t="s">
        <v>32</v>
      </c>
      <c r="S480" t="s">
        <v>33</v>
      </c>
      <c r="T480" t="s">
        <v>34</v>
      </c>
      <c r="U480" t="s">
        <v>167</v>
      </c>
      <c r="V480" t="s">
        <v>189</v>
      </c>
    </row>
    <row r="481" spans="1:22" ht="16">
      <c r="A481" t="s">
        <v>973</v>
      </c>
      <c r="B481" t="s">
        <v>1479</v>
      </c>
      <c r="C481" t="s">
        <v>24</v>
      </c>
      <c r="D481" t="s">
        <v>847</v>
      </c>
      <c r="E481" t="s">
        <v>26</v>
      </c>
      <c r="F481" t="s">
        <v>46</v>
      </c>
      <c r="G481" t="str">
        <f>HYPERLINK("https://www.facebook.com/25953259197627817")</f>
        <v>https://www.facebook.com/25953259197627817</v>
      </c>
      <c r="H481" t="s">
        <v>28</v>
      </c>
      <c r="I481" t="s">
        <v>1480</v>
      </c>
      <c r="K481" t="str">
        <f>HYPERLINK("https://www.facebook.com/100001112748558")</f>
        <v>https://www.facebook.com/100001112748558</v>
      </c>
      <c r="M481" t="s">
        <v>30</v>
      </c>
      <c r="N481" t="s">
        <v>31</v>
      </c>
      <c r="O481" t="s">
        <v>1480</v>
      </c>
      <c r="P481" t="str">
        <f>HYPERLINK("https://www.facebook.com/100001112748558")</f>
        <v>https://www.facebook.com/100001112748558</v>
      </c>
      <c r="R481" t="s">
        <v>32</v>
      </c>
      <c r="S481" t="s">
        <v>33</v>
      </c>
      <c r="T481" t="s">
        <v>34</v>
      </c>
      <c r="U481" t="s">
        <v>41</v>
      </c>
      <c r="V481" t="s">
        <v>42</v>
      </c>
    </row>
    <row r="482" spans="1:19" ht="16">
      <c r="A482" t="s">
        <v>973</v>
      </c>
      <c r="B482" t="s">
        <v>1481</v>
      </c>
      <c r="C482" t="s">
        <v>24</v>
      </c>
      <c r="D482" t="s">
        <v>49</v>
      </c>
      <c r="E482" t="s">
        <v>45</v>
      </c>
      <c r="F482" t="s">
        <v>46</v>
      </c>
      <c r="G482" t="str">
        <f>HYPERLINK("https://www.facebook.com/2714606258912898")</f>
        <v>https://www.facebook.com/2714606258912898</v>
      </c>
      <c r="H482" t="s">
        <v>28</v>
      </c>
      <c r="I482" t="s">
        <v>1482</v>
      </c>
      <c r="J482" t="s">
        <v>1483</v>
      </c>
      <c r="K482" t="str">
        <f>HYPERLINK("https://www.facebook.com/100010906500088")</f>
        <v>https://www.facebook.com/100010906500088</v>
      </c>
      <c r="M482" t="s">
        <v>40</v>
      </c>
      <c r="N482" t="s">
        <v>31</v>
      </c>
      <c r="O482" t="s">
        <v>1482</v>
      </c>
      <c r="P482" t="str">
        <f>HYPERLINK("https://www.facebook.com/100010906500088")</f>
        <v>https://www.facebook.com/100010906500088</v>
      </c>
      <c r="R482" t="s">
        <v>32</v>
      </c>
      <c r="S482" t="s">
        <v>33</v>
      </c>
    </row>
    <row r="483" spans="1:22" ht="16">
      <c r="A483" t="s">
        <v>973</v>
      </c>
      <c r="B483" t="s">
        <v>1484</v>
      </c>
      <c r="C483" t="s">
        <v>24</v>
      </c>
      <c r="D483" t="s">
        <v>254</v>
      </c>
      <c r="E483" t="s">
        <v>45</v>
      </c>
      <c r="F483" t="s">
        <v>46</v>
      </c>
      <c r="G483" t="str">
        <f>HYPERLINK("https://www.facebook.com/1608406237067435")</f>
        <v>https://www.facebook.com/1608406237067435</v>
      </c>
      <c r="H483" t="s">
        <v>28</v>
      </c>
      <c r="I483" t="s">
        <v>1485</v>
      </c>
      <c r="K483" t="str">
        <f>HYPERLINK("https://www.facebook.com/100036942214778")</f>
        <v>https://www.facebook.com/100036942214778</v>
      </c>
      <c r="M483" t="s">
        <v>40</v>
      </c>
      <c r="N483" t="s">
        <v>31</v>
      </c>
      <c r="O483" t="s">
        <v>1485</v>
      </c>
      <c r="P483" t="str">
        <f>HYPERLINK("https://www.facebook.com/100036942214778")</f>
        <v>https://www.facebook.com/100036942214778</v>
      </c>
      <c r="R483" t="s">
        <v>32</v>
      </c>
      <c r="S483" t="s">
        <v>33</v>
      </c>
      <c r="T483" t="s">
        <v>34</v>
      </c>
      <c r="U483" t="s">
        <v>371</v>
      </c>
      <c r="V483" t="s">
        <v>1486</v>
      </c>
    </row>
    <row r="484" spans="1:22" ht="16">
      <c r="A484" t="s">
        <v>973</v>
      </c>
      <c r="B484" t="s">
        <v>1487</v>
      </c>
      <c r="C484" t="s">
        <v>24</v>
      </c>
      <c r="D484" t="s">
        <v>49</v>
      </c>
      <c r="E484" t="s">
        <v>45</v>
      </c>
      <c r="F484" t="s">
        <v>46</v>
      </c>
      <c r="G484" t="str">
        <f>HYPERLINK("https://www.facebook.com/4610290032535616")</f>
        <v>https://www.facebook.com/4610290032535616</v>
      </c>
      <c r="H484" t="s">
        <v>28</v>
      </c>
      <c r="I484" t="s">
        <v>1488</v>
      </c>
      <c r="J484" t="s">
        <v>1489</v>
      </c>
      <c r="K484" t="str">
        <f>HYPERLINK("https://www.facebook.com/100006639943297")</f>
        <v>https://www.facebook.com/100006639943297</v>
      </c>
      <c r="M484" t="s">
        <v>30</v>
      </c>
      <c r="N484" t="s">
        <v>31</v>
      </c>
      <c r="O484" t="s">
        <v>1488</v>
      </c>
      <c r="P484" t="str">
        <f>HYPERLINK("https://www.facebook.com/100006639943297")</f>
        <v>https://www.facebook.com/100006639943297</v>
      </c>
      <c r="R484" t="s">
        <v>32</v>
      </c>
      <c r="S484" t="s">
        <v>33</v>
      </c>
      <c r="T484" t="s">
        <v>240</v>
      </c>
      <c r="U484" t="s">
        <v>1490</v>
      </c>
      <c r="V484" t="s">
        <v>1491</v>
      </c>
    </row>
    <row r="485" spans="1:19" ht="16">
      <c r="A485" t="s">
        <v>973</v>
      </c>
      <c r="B485" t="s">
        <v>1492</v>
      </c>
      <c r="C485" t="s">
        <v>24</v>
      </c>
      <c r="D485" t="s">
        <v>1212</v>
      </c>
      <c r="E485" t="s">
        <v>26</v>
      </c>
      <c r="F485" t="s">
        <v>46</v>
      </c>
      <c r="G485" t="str">
        <f>HYPERLINK("https://www.facebook.com/33900701679577568")</f>
        <v>https://www.facebook.com/33900701679577568</v>
      </c>
      <c r="H485" t="s">
        <v>28</v>
      </c>
      <c r="I485" t="s">
        <v>1350</v>
      </c>
      <c r="K485" t="str">
        <f>HYPERLINK("https://www.facebook.com/100001935101916")</f>
        <v>https://www.facebook.com/100001935101916</v>
      </c>
      <c r="M485" t="s">
        <v>30</v>
      </c>
      <c r="N485" t="s">
        <v>31</v>
      </c>
      <c r="O485" t="s">
        <v>1350</v>
      </c>
      <c r="P485" t="str">
        <f>HYPERLINK("https://www.facebook.com/100001935101916")</f>
        <v>https://www.facebook.com/100001935101916</v>
      </c>
      <c r="R485" t="s">
        <v>32</v>
      </c>
      <c r="S485" t="s">
        <v>33</v>
      </c>
    </row>
    <row r="486" spans="1:22" ht="16">
      <c r="A486" t="s">
        <v>973</v>
      </c>
      <c r="B486" t="s">
        <v>1493</v>
      </c>
      <c r="C486" t="s">
        <v>80</v>
      </c>
      <c r="D486" t="s">
        <v>1494</v>
      </c>
      <c r="E486" t="s">
        <v>74</v>
      </c>
      <c r="F486" t="s">
        <v>3</v>
      </c>
      <c r="G486" t="str">
        <f>HYPERLINK("https://www.facebook.com/westukrnews/posts/pfbid05KpJzZfAmc7DG6HMNPojmy3FDtYQBjx33JCcksAdDUDGcWNSDnn66BSqDiowXeWol?comment_id=1270483568284538")</f>
        <v>https://www.facebook.com/westukrnews/posts/pfbid05KpJzZfAmc7DG6HMNPojmy3FDtYQBjx33JCcksAdDUDGcWNSDnn66BSqDiowXeWol?comment_id=1270483568284538</v>
      </c>
      <c r="H486" t="s">
        <v>28</v>
      </c>
      <c r="I486" t="s">
        <v>1495</v>
      </c>
      <c r="K486" t="str">
        <f>HYPERLINK("https://www.facebook.com/100045402198116")</f>
        <v>https://www.facebook.com/100045402198116</v>
      </c>
      <c r="M486" t="s">
        <v>30</v>
      </c>
      <c r="N486" t="s">
        <v>31</v>
      </c>
      <c r="O486" t="s">
        <v>813</v>
      </c>
      <c r="P486" t="str">
        <f>HYPERLINK("https://www.facebook.com/264234810584424")</f>
        <v>https://www.facebook.com/264234810584424</v>
      </c>
      <c r="Q486">
        <v>559985</v>
      </c>
      <c r="R486" t="s">
        <v>32</v>
      </c>
      <c r="S486" t="s">
        <v>33</v>
      </c>
      <c r="T486" t="s">
        <v>34</v>
      </c>
      <c r="U486" t="s">
        <v>487</v>
      </c>
      <c r="V486" t="s">
        <v>814</v>
      </c>
    </row>
    <row r="487" spans="1:22" ht="16">
      <c r="A487" t="s">
        <v>973</v>
      </c>
      <c r="B487" t="s">
        <v>1493</v>
      </c>
      <c r="C487" t="s">
        <v>768</v>
      </c>
      <c r="D487" t="s">
        <v>1496</v>
      </c>
      <c r="E487" t="s">
        <v>74</v>
      </c>
      <c r="F487" t="s">
        <v>3</v>
      </c>
      <c r="G487" t="str">
        <f>HYPERLINK("https://www.facebook.com/permalink.php?story_fbid=pfbid02DgANGB1UfA8eiSEWZDrn1phUDR4HDDUNymqq3vXkG5dektX2ixgMPkRb1ewVxfjql&amp;id=61586034743827&amp;comment_id=1612087099826491")</f>
        <v>https://www.facebook.com/permalink.php?story_fbid=pfbid02DgANGB1UfA8eiSEWZDrn1phUDR4HDDUNymqq3vXkG5dektX2ixgMPkRb1ewVxfjql&amp;id=61586034743827&amp;comment_id=1612087099826491</v>
      </c>
      <c r="H487" t="s">
        <v>28</v>
      </c>
      <c r="I487" t="s">
        <v>1497</v>
      </c>
      <c r="K487" t="str">
        <f>HYPERLINK("https://www.facebook.com/pfbid02K26nfLwsNQFbPyR5Y43ZFruBvSeJvs9fWvy47zdHXXRTow6nvX7PjJBxSC3h7X8Bl")</f>
        <v>https://www.facebook.com/pfbid02K26nfLwsNQFbPyR5Y43ZFruBvSeJvs9fWvy47zdHXXRTow6nvX7PjJBxSC3h7X8Bl</v>
      </c>
      <c r="M487" t="s">
        <v>40</v>
      </c>
      <c r="N487" t="s">
        <v>31</v>
      </c>
      <c r="O487" t="s">
        <v>1498</v>
      </c>
      <c r="P487" t="str">
        <f>HYPERLINK("https://www.facebook.com/61586034743827")</f>
        <v>https://www.facebook.com/61586034743827</v>
      </c>
      <c r="R487" t="s">
        <v>32</v>
      </c>
      <c r="S487" t="s">
        <v>57</v>
      </c>
      <c r="T487" t="s">
        <v>1499</v>
      </c>
      <c r="U487" t="s">
        <v>1500</v>
      </c>
      <c r="V487" t="s">
        <v>1501</v>
      </c>
    </row>
    <row r="488" spans="1:22" ht="16">
      <c r="A488" t="s">
        <v>973</v>
      </c>
      <c r="B488" t="s">
        <v>1502</v>
      </c>
      <c r="C488" t="s">
        <v>24</v>
      </c>
      <c r="D488" t="s">
        <v>254</v>
      </c>
      <c r="E488" t="s">
        <v>45</v>
      </c>
      <c r="F488" t="s">
        <v>46</v>
      </c>
      <c r="G488" t="str">
        <f>HYPERLINK("https://www.facebook.com/1955000441766836")</f>
        <v>https://www.facebook.com/1955000441766836</v>
      </c>
      <c r="H488" t="s">
        <v>28</v>
      </c>
      <c r="I488" t="s">
        <v>1503</v>
      </c>
      <c r="J488" t="s">
        <v>1504</v>
      </c>
      <c r="K488" t="str">
        <f>HYPERLINK("https://www.facebook.com/100017706960668")</f>
        <v>https://www.facebook.com/100017706960668</v>
      </c>
      <c r="L488">
        <v>1545</v>
      </c>
      <c r="M488" t="s">
        <v>30</v>
      </c>
      <c r="N488" t="s">
        <v>31</v>
      </c>
      <c r="O488" t="s">
        <v>1503</v>
      </c>
      <c r="P488" t="str">
        <f>HYPERLINK("https://www.facebook.com/100017706960668")</f>
        <v>https://www.facebook.com/100017706960668</v>
      </c>
      <c r="Q488">
        <v>1545</v>
      </c>
      <c r="R488" t="s">
        <v>32</v>
      </c>
      <c r="S488" t="s">
        <v>33</v>
      </c>
      <c r="T488" t="s">
        <v>240</v>
      </c>
      <c r="U488" t="s">
        <v>241</v>
      </c>
      <c r="V488" t="s">
        <v>242</v>
      </c>
    </row>
    <row r="489" spans="1:22" ht="16">
      <c r="A489" t="s">
        <v>973</v>
      </c>
      <c r="B489" t="s">
        <v>760</v>
      </c>
      <c r="C489" t="s">
        <v>80</v>
      </c>
      <c r="D489" t="s">
        <v>1505</v>
      </c>
      <c r="E489" t="s">
        <v>74</v>
      </c>
      <c r="F489" t="s">
        <v>3</v>
      </c>
      <c r="G489" t="str">
        <f>HYPERLINK("https://www.facebook.com/urij.hort.2025/posts/pfbid0CjtLUfoegxNfRPBETweQNpM3yH8b6A9n3AVwQv3nejHdFa9LZk4ANgXDiP7AGwucl?comment_id=2768958076780727")</f>
        <v>https://www.facebook.com/urij.hort.2025/posts/pfbid0CjtLUfoegxNfRPBETweQNpM3yH8b6A9n3AVwQv3nejHdFa9LZk4ANgXDiP7AGwucl?comment_id=2768958076780727</v>
      </c>
      <c r="H489" t="s">
        <v>28</v>
      </c>
      <c r="I489" t="s">
        <v>1506</v>
      </c>
      <c r="K489" t="str">
        <f>HYPERLINK("https://www.facebook.com/100045177138774")</f>
        <v>https://www.facebook.com/100045177138774</v>
      </c>
      <c r="M489" t="s">
        <v>40</v>
      </c>
      <c r="N489" t="s">
        <v>31</v>
      </c>
      <c r="O489" t="s">
        <v>763</v>
      </c>
      <c r="P489" t="str">
        <f>HYPERLINK("https://www.facebook.com/100075992182284")</f>
        <v>https://www.facebook.com/100075992182284</v>
      </c>
      <c r="R489" t="s">
        <v>32</v>
      </c>
      <c r="S489" t="s">
        <v>33</v>
      </c>
      <c r="T489" t="s">
        <v>34</v>
      </c>
      <c r="U489" t="s">
        <v>77</v>
      </c>
      <c r="V489" t="s">
        <v>1507</v>
      </c>
    </row>
    <row r="490" spans="1:22" ht="16">
      <c r="A490" t="s">
        <v>973</v>
      </c>
      <c r="B490" t="s">
        <v>1508</v>
      </c>
      <c r="C490" t="s">
        <v>24</v>
      </c>
      <c r="D490" t="s">
        <v>824</v>
      </c>
      <c r="E490" t="s">
        <v>45</v>
      </c>
      <c r="F490" t="s">
        <v>46</v>
      </c>
      <c r="G490" t="str">
        <f>HYPERLINK("https://www.facebook.com/4366982273448089")</f>
        <v>https://www.facebook.com/4366982273448089</v>
      </c>
      <c r="H490" t="s">
        <v>28</v>
      </c>
      <c r="I490" t="s">
        <v>1509</v>
      </c>
      <c r="J490" t="s">
        <v>1510</v>
      </c>
      <c r="K490" t="str">
        <f>HYPERLINK("https://www.facebook.com/100004090780370")</f>
        <v>https://www.facebook.com/100004090780370</v>
      </c>
      <c r="M490" t="s">
        <v>40</v>
      </c>
      <c r="N490" t="s">
        <v>31</v>
      </c>
      <c r="O490" t="s">
        <v>1509</v>
      </c>
      <c r="P490" t="str">
        <f>HYPERLINK("https://www.facebook.com/100004090780370")</f>
        <v>https://www.facebook.com/100004090780370</v>
      </c>
      <c r="R490" t="s">
        <v>32</v>
      </c>
      <c r="S490" t="s">
        <v>33</v>
      </c>
      <c r="T490" t="s">
        <v>34</v>
      </c>
      <c r="U490" t="s">
        <v>542</v>
      </c>
      <c r="V490" t="s">
        <v>543</v>
      </c>
    </row>
    <row r="491" spans="1:22" ht="16">
      <c r="A491" t="s">
        <v>973</v>
      </c>
      <c r="B491" t="s">
        <v>1511</v>
      </c>
      <c r="C491" t="s">
        <v>80</v>
      </c>
      <c r="D491" t="s">
        <v>1512</v>
      </c>
      <c r="E491" t="s">
        <v>74</v>
      </c>
      <c r="F491" t="s">
        <v>3</v>
      </c>
      <c r="G491" t="str">
        <f>HYPERLINK("https://www.facebook.com/urij.hort.2025/posts/pfbid0CjtLUfoegxNfRPBETweQNpM3yH8b6A9n3AVwQv3nejHdFa9LZk4ANgXDiP7AGwucl?comment_id=856813074070031")</f>
        <v>https://www.facebook.com/urij.hort.2025/posts/pfbid0CjtLUfoegxNfRPBETweQNpM3yH8b6A9n3AVwQv3nejHdFa9LZk4ANgXDiP7AGwucl?comment_id=856813074070031</v>
      </c>
      <c r="H491" t="s">
        <v>28</v>
      </c>
      <c r="I491" t="s">
        <v>1513</v>
      </c>
      <c r="J491" t="s">
        <v>1514</v>
      </c>
      <c r="K491" t="str">
        <f>HYPERLINK("https://www.facebook.com/1522511410")</f>
        <v>https://www.facebook.com/1522511410</v>
      </c>
      <c r="M491" t="s">
        <v>40</v>
      </c>
      <c r="N491" t="s">
        <v>31</v>
      </c>
      <c r="O491" t="s">
        <v>763</v>
      </c>
      <c r="P491" t="str">
        <f>HYPERLINK("https://www.facebook.com/100075992182284")</f>
        <v>https://www.facebook.com/100075992182284</v>
      </c>
      <c r="R491" t="s">
        <v>32</v>
      </c>
      <c r="S491" t="s">
        <v>33</v>
      </c>
      <c r="T491" t="s">
        <v>192</v>
      </c>
      <c r="U491" t="s">
        <v>193</v>
      </c>
      <c r="V491" t="s">
        <v>221</v>
      </c>
    </row>
    <row r="492" spans="1:22" ht="16">
      <c r="A492" t="s">
        <v>973</v>
      </c>
      <c r="B492" t="s">
        <v>1511</v>
      </c>
      <c r="C492" t="s">
        <v>80</v>
      </c>
      <c r="D492" t="s">
        <v>1515</v>
      </c>
      <c r="E492" t="s">
        <v>74</v>
      </c>
      <c r="F492" t="s">
        <v>3</v>
      </c>
      <c r="G492" t="str">
        <f>HYPERLINK("https://www.facebook.com/westukrnews/posts/pfbid05KpJzZfAmc7DG6HMNPojmy3FDtYQBjx33JCcksAdDUDGcWNSDnn66BSqDiowXeWol?comment_id=909977045150090")</f>
        <v>https://www.facebook.com/westukrnews/posts/pfbid05KpJzZfAmc7DG6HMNPojmy3FDtYQBjx33JCcksAdDUDGcWNSDnn66BSqDiowXeWol?comment_id=909977045150090</v>
      </c>
      <c r="H492" t="s">
        <v>28</v>
      </c>
      <c r="I492" t="s">
        <v>1516</v>
      </c>
      <c r="K492" t="str">
        <f>HYPERLINK("https://www.facebook.com/100022648853865")</f>
        <v>https://www.facebook.com/100022648853865</v>
      </c>
      <c r="M492" t="s">
        <v>30</v>
      </c>
      <c r="N492" t="s">
        <v>31</v>
      </c>
      <c r="O492" t="s">
        <v>813</v>
      </c>
      <c r="P492" t="str">
        <f>HYPERLINK("https://www.facebook.com/264234810584424")</f>
        <v>https://www.facebook.com/264234810584424</v>
      </c>
      <c r="Q492">
        <v>559985</v>
      </c>
      <c r="R492" t="s">
        <v>32</v>
      </c>
      <c r="S492" t="s">
        <v>85</v>
      </c>
      <c r="T492" t="s">
        <v>34</v>
      </c>
      <c r="U492" t="s">
        <v>487</v>
      </c>
      <c r="V492" t="s">
        <v>814</v>
      </c>
    </row>
    <row r="493" spans="1:22" ht="16">
      <c r="A493" t="s">
        <v>973</v>
      </c>
      <c r="B493" t="s">
        <v>1517</v>
      </c>
      <c r="C493" t="s">
        <v>24</v>
      </c>
      <c r="D493" t="s">
        <v>44</v>
      </c>
      <c r="E493" t="s">
        <v>45</v>
      </c>
      <c r="F493" t="s">
        <v>46</v>
      </c>
      <c r="G493" t="str">
        <f>HYPERLINK("https://www.facebook.com/931200482756349")</f>
        <v>https://www.facebook.com/931200482756349</v>
      </c>
      <c r="H493" t="s">
        <v>28</v>
      </c>
      <c r="I493" t="s">
        <v>763</v>
      </c>
      <c r="K493" t="str">
        <f>HYPERLINK("https://www.facebook.com/100075992182284")</f>
        <v>https://www.facebook.com/100075992182284</v>
      </c>
      <c r="M493" t="s">
        <v>40</v>
      </c>
      <c r="N493" t="s">
        <v>31</v>
      </c>
      <c r="O493" t="s">
        <v>763</v>
      </c>
      <c r="P493" t="str">
        <f>HYPERLINK("https://www.facebook.com/100075992182284")</f>
        <v>https://www.facebook.com/100075992182284</v>
      </c>
      <c r="R493" t="s">
        <v>32</v>
      </c>
      <c r="S493" t="s">
        <v>33</v>
      </c>
      <c r="T493" t="s">
        <v>34</v>
      </c>
      <c r="U493" t="s">
        <v>58</v>
      </c>
      <c r="V493" t="s">
        <v>58</v>
      </c>
    </row>
    <row r="494" spans="1:19" ht="16">
      <c r="A494" t="s">
        <v>973</v>
      </c>
      <c r="B494" t="s">
        <v>1518</v>
      </c>
      <c r="C494" t="s">
        <v>24</v>
      </c>
      <c r="D494" t="s">
        <v>254</v>
      </c>
      <c r="E494" t="s">
        <v>45</v>
      </c>
      <c r="F494" t="s">
        <v>46</v>
      </c>
      <c r="G494" t="str">
        <f>HYPERLINK("https://www.facebook.com/3153456838171523")</f>
        <v>https://www.facebook.com/3153456838171523</v>
      </c>
      <c r="H494" t="s">
        <v>28</v>
      </c>
      <c r="I494" t="s">
        <v>1519</v>
      </c>
      <c r="K494" t="str">
        <f>HYPERLINK("https://www.facebook.com/100005217121959")</f>
        <v>https://www.facebook.com/100005217121959</v>
      </c>
      <c r="M494" t="s">
        <v>40</v>
      </c>
      <c r="N494" t="s">
        <v>31</v>
      </c>
      <c r="O494" t="s">
        <v>1519</v>
      </c>
      <c r="P494" t="str">
        <f>HYPERLINK("https://www.facebook.com/100005217121959")</f>
        <v>https://www.facebook.com/100005217121959</v>
      </c>
      <c r="R494" t="s">
        <v>32</v>
      </c>
      <c r="S494" t="s">
        <v>33</v>
      </c>
    </row>
    <row r="495" spans="1:22" ht="16">
      <c r="A495" t="s">
        <v>973</v>
      </c>
      <c r="B495" t="s">
        <v>1520</v>
      </c>
      <c r="C495" t="s">
        <v>80</v>
      </c>
      <c r="D495" t="s">
        <v>1521</v>
      </c>
      <c r="E495" t="s">
        <v>74</v>
      </c>
      <c r="F495" t="s">
        <v>3</v>
      </c>
      <c r="G495" t="str">
        <f>HYPERLINK("https://www.facebook.com/westukrnews/posts/pfbid05KpJzZfAmc7DG6HMNPojmy3FDtYQBjx33JCcksAdDUDGcWNSDnn66BSqDiowXeWol?comment_id=861712973562375")</f>
        <v>https://www.facebook.com/westukrnews/posts/pfbid05KpJzZfAmc7DG6HMNPojmy3FDtYQBjx33JCcksAdDUDGcWNSDnn66BSqDiowXeWol?comment_id=861712973562375</v>
      </c>
      <c r="H495" t="s">
        <v>28</v>
      </c>
      <c r="I495" t="s">
        <v>1522</v>
      </c>
      <c r="K495" t="str">
        <f>HYPERLINK("https://www.facebook.com/100084471564411")</f>
        <v>https://www.facebook.com/100084471564411</v>
      </c>
      <c r="M495" t="s">
        <v>30</v>
      </c>
      <c r="N495" t="s">
        <v>31</v>
      </c>
      <c r="O495" t="s">
        <v>813</v>
      </c>
      <c r="P495" t="str">
        <f>HYPERLINK("https://www.facebook.com/264234810584424")</f>
        <v>https://www.facebook.com/264234810584424</v>
      </c>
      <c r="Q495">
        <v>559985</v>
      </c>
      <c r="R495" t="s">
        <v>32</v>
      </c>
      <c r="S495" t="s">
        <v>33</v>
      </c>
      <c r="T495" t="s">
        <v>34</v>
      </c>
      <c r="U495" t="s">
        <v>487</v>
      </c>
      <c r="V495" t="s">
        <v>814</v>
      </c>
    </row>
    <row r="496" spans="1:22" ht="16">
      <c r="A496" t="s">
        <v>973</v>
      </c>
      <c r="B496" t="s">
        <v>1520</v>
      </c>
      <c r="C496" t="s">
        <v>72</v>
      </c>
      <c r="D496" t="s">
        <v>1523</v>
      </c>
      <c r="E496" t="s">
        <v>74</v>
      </c>
      <c r="F496" t="s">
        <v>3</v>
      </c>
      <c r="G496" t="str">
        <f>HYPERLINK("https://www.facebook.com/permalink.php?story_fbid=pfbid0oe6Um7pN276QoEDBwEx2FQ9wPdrmtpQaiGt2p6g9ZdVtZnKSNTt7QSoobVSCty7ol&amp;id=100011701954282&amp;comment_id=2194609331343505")</f>
        <v>https://www.facebook.com/permalink.php?story_fbid=pfbid0oe6Um7pN276QoEDBwEx2FQ9wPdrmtpQaiGt2p6g9ZdVtZnKSNTt7QSoobVSCty7ol&amp;id=100011701954282&amp;comment_id=2194609331343505</v>
      </c>
      <c r="H496" t="s">
        <v>28</v>
      </c>
      <c r="I496" t="s">
        <v>914</v>
      </c>
      <c r="K496" t="str">
        <f>HYPERLINK("https://www.facebook.com/pfbid0312VF7RoNSQ1Azu25ZEGWbr8a71v5u6FmfqGthVccJVq4xkkvk1qrGhkJ2AZGeApRl")</f>
        <v>https://www.facebook.com/pfbid0312VF7RoNSQ1Azu25ZEGWbr8a71v5u6FmfqGthVccJVq4xkkvk1qrGhkJ2AZGeApRl</v>
      </c>
      <c r="M496" t="s">
        <v>30</v>
      </c>
      <c r="N496" t="s">
        <v>31</v>
      </c>
      <c r="O496" t="s">
        <v>914</v>
      </c>
      <c r="P496" t="str">
        <f>HYPERLINK("https://www.facebook.com/pfbid0312VF7RoNSQ1Azu25ZEGWbr8a71v5u6FmfqGthVccJVq4xkkvk1qrGhkJ2AZGeApRl")</f>
        <v>https://www.facebook.com/pfbid0312VF7RoNSQ1Azu25ZEGWbr8a71v5u6FmfqGthVccJVq4xkkvk1qrGhkJ2AZGeApRl</v>
      </c>
      <c r="R496" t="s">
        <v>32</v>
      </c>
      <c r="S496" t="s">
        <v>33</v>
      </c>
      <c r="T496" t="s">
        <v>34</v>
      </c>
      <c r="U496" t="s">
        <v>899</v>
      </c>
      <c r="V496" t="s">
        <v>900</v>
      </c>
    </row>
    <row r="497" spans="1:22" ht="16">
      <c r="A497" t="s">
        <v>973</v>
      </c>
      <c r="B497" t="s">
        <v>1524</v>
      </c>
      <c r="C497" t="s">
        <v>80</v>
      </c>
      <c r="D497" t="s">
        <v>1525</v>
      </c>
      <c r="E497" t="s">
        <v>74</v>
      </c>
      <c r="F497" t="s">
        <v>3</v>
      </c>
      <c r="G497" t="str">
        <f>HYPERLINK("https://www.facebook.com/westukrnews/posts/pfbid05KpJzZfAmc7DG6HMNPojmy3FDtYQBjx33JCcksAdDUDGcWNSDnn66BSqDiowXeWol?comment_id=2000391024021967&amp;reply_comment_id=1995508748013018")</f>
        <v>https://www.facebook.com/westukrnews/posts/pfbid05KpJzZfAmc7DG6HMNPojmy3FDtYQBjx33JCcksAdDUDGcWNSDnn66BSqDiowXeWol?comment_id=2000391024021967&amp;reply_comment_id=1995508748013018</v>
      </c>
      <c r="H497" t="s">
        <v>28</v>
      </c>
      <c r="I497" t="s">
        <v>1526</v>
      </c>
      <c r="K497" t="str">
        <f>HYPERLINK("https://www.facebook.com/100075062434447")</f>
        <v>https://www.facebook.com/100075062434447</v>
      </c>
      <c r="M497" t="s">
        <v>30</v>
      </c>
      <c r="N497" t="s">
        <v>31</v>
      </c>
      <c r="O497" t="s">
        <v>813</v>
      </c>
      <c r="P497" t="str">
        <f>HYPERLINK("https://www.facebook.com/264234810584424")</f>
        <v>https://www.facebook.com/264234810584424</v>
      </c>
      <c r="Q497">
        <v>559985</v>
      </c>
      <c r="R497" t="s">
        <v>32</v>
      </c>
      <c r="S497" t="s">
        <v>33</v>
      </c>
      <c r="T497" t="s">
        <v>34</v>
      </c>
      <c r="U497" t="s">
        <v>35</v>
      </c>
      <c r="V497" t="s">
        <v>300</v>
      </c>
    </row>
    <row r="498" spans="1:22" ht="16">
      <c r="A498" t="s">
        <v>973</v>
      </c>
      <c r="B498" t="s">
        <v>1527</v>
      </c>
      <c r="C498" t="s">
        <v>80</v>
      </c>
      <c r="D498" t="s">
        <v>1528</v>
      </c>
      <c r="E498" t="s">
        <v>74</v>
      </c>
      <c r="F498" t="s">
        <v>3</v>
      </c>
      <c r="G498" t="str">
        <f>HYPERLINK("https://www.facebook.com/permalink.php?story_fbid=pfbid0o4Et6HrEE5ifbNf1WoRrPde8qq1tk5bZyoQXFcEkcT9YM2EXc2PiazgXwJcmggJ7l&amp;id=100006975138432&amp;comment_id=1549002059491905")</f>
        <v>https://www.facebook.com/permalink.php?story_fbid=pfbid0o4Et6HrEE5ifbNf1WoRrPde8qq1tk5bZyoQXFcEkcT9YM2EXc2PiazgXwJcmggJ7l&amp;id=100006975138432&amp;comment_id=1549002059491905</v>
      </c>
      <c r="H498" t="s">
        <v>28</v>
      </c>
      <c r="I498" t="s">
        <v>1529</v>
      </c>
      <c r="K498" t="str">
        <f>HYPERLINK("https://www.facebook.com/100018748572983")</f>
        <v>https://www.facebook.com/100018748572983</v>
      </c>
      <c r="M498" t="s">
        <v>40</v>
      </c>
      <c r="N498" t="s">
        <v>31</v>
      </c>
      <c r="O498" t="s">
        <v>1399</v>
      </c>
      <c r="P498" t="str">
        <f>HYPERLINK("https://www.facebook.com/100006975138432")</f>
        <v>https://www.facebook.com/100006975138432</v>
      </c>
      <c r="R498" t="s">
        <v>32</v>
      </c>
      <c r="S498" t="s">
        <v>85</v>
      </c>
      <c r="T498" t="s">
        <v>34</v>
      </c>
      <c r="U498" t="s">
        <v>58</v>
      </c>
      <c r="V498" t="s">
        <v>58</v>
      </c>
    </row>
    <row r="499" spans="1:19" ht="16">
      <c r="A499" t="s">
        <v>973</v>
      </c>
      <c r="B499" t="s">
        <v>1527</v>
      </c>
      <c r="C499" t="s">
        <v>24</v>
      </c>
      <c r="D499" t="s">
        <v>238</v>
      </c>
      <c r="E499" t="s">
        <v>45</v>
      </c>
      <c r="F499" t="s">
        <v>3</v>
      </c>
      <c r="G499" t="str">
        <f>HYPERLINK("https://www.facebook.com/1952712268949086")</f>
        <v>https://www.facebook.com/1952712268949086</v>
      </c>
      <c r="H499" t="s">
        <v>28</v>
      </c>
      <c r="I499" t="s">
        <v>1530</v>
      </c>
      <c r="K499" t="str">
        <f>HYPERLINK("https://www.facebook.com/100086992158811")</f>
        <v>https://www.facebook.com/100086992158811</v>
      </c>
      <c r="M499" t="s">
        <v>40</v>
      </c>
      <c r="N499" t="s">
        <v>31</v>
      </c>
      <c r="O499" t="s">
        <v>1531</v>
      </c>
      <c r="P499" t="str">
        <f>HYPERLINK("https://www.facebook.com/481346419419019")</f>
        <v>https://www.facebook.com/481346419419019</v>
      </c>
      <c r="Q499">
        <v>873</v>
      </c>
      <c r="R499" t="s">
        <v>32</v>
      </c>
      <c r="S499" t="s">
        <v>33</v>
      </c>
    </row>
    <row r="500" spans="1:22" ht="16">
      <c r="A500" t="s">
        <v>973</v>
      </c>
      <c r="B500" t="s">
        <v>1532</v>
      </c>
      <c r="C500" t="s">
        <v>24</v>
      </c>
      <c r="D500" t="s">
        <v>238</v>
      </c>
      <c r="E500" t="s">
        <v>45</v>
      </c>
      <c r="F500" t="s">
        <v>3</v>
      </c>
      <c r="G500" t="str">
        <f>HYPERLINK("https://www.facebook.com/1487035696087626")</f>
        <v>https://www.facebook.com/1487035696087626</v>
      </c>
      <c r="H500" t="s">
        <v>28</v>
      </c>
      <c r="I500" t="s">
        <v>1533</v>
      </c>
      <c r="K500" t="str">
        <f>HYPERLINK("https://www.facebook.com/100043436302232")</f>
        <v>https://www.facebook.com/100043436302232</v>
      </c>
      <c r="M500" t="s">
        <v>40</v>
      </c>
      <c r="N500" t="s">
        <v>31</v>
      </c>
      <c r="O500" t="s">
        <v>1533</v>
      </c>
      <c r="P500" t="str">
        <f>HYPERLINK("https://www.facebook.com/100043436302232")</f>
        <v>https://www.facebook.com/100043436302232</v>
      </c>
      <c r="R500" t="s">
        <v>32</v>
      </c>
      <c r="S500" t="s">
        <v>33</v>
      </c>
      <c r="T500" t="s">
        <v>34</v>
      </c>
      <c r="U500" t="s">
        <v>158</v>
      </c>
      <c r="V500" t="s">
        <v>159</v>
      </c>
    </row>
    <row r="501" spans="1:22" ht="16">
      <c r="A501" t="s">
        <v>973</v>
      </c>
      <c r="B501" t="s">
        <v>1534</v>
      </c>
      <c r="C501" t="s">
        <v>72</v>
      </c>
      <c r="D501" t="s">
        <v>1535</v>
      </c>
      <c r="E501" t="s">
        <v>74</v>
      </c>
      <c r="F501" t="s">
        <v>3</v>
      </c>
      <c r="G501" t="str">
        <f>HYPERLINK("https://www.facebook.com/permalink.php?story_fbid=pfbid0oe6Um7pN276QoEDBwEx2FQ9wPdrmtpQaiGt2p6g9ZdVtZnKSNTt7QSoobVSCty7ol&amp;id=100011701954282&amp;comment_id=1454596929554782")</f>
        <v>https://www.facebook.com/permalink.php?story_fbid=pfbid0oe6Um7pN276QoEDBwEx2FQ9wPdrmtpQaiGt2p6g9ZdVtZnKSNTt7QSoobVSCty7ol&amp;id=100011701954282&amp;comment_id=1454596929554782</v>
      </c>
      <c r="H501" t="s">
        <v>28</v>
      </c>
      <c r="I501" t="s">
        <v>1536</v>
      </c>
      <c r="K501" t="str">
        <f>HYPERLINK("https://www.facebook.com/100078945156619")</f>
        <v>https://www.facebook.com/100078945156619</v>
      </c>
      <c r="M501" t="s">
        <v>30</v>
      </c>
      <c r="N501" t="s">
        <v>31</v>
      </c>
      <c r="O501" t="s">
        <v>914</v>
      </c>
      <c r="P501" t="str">
        <f>HYPERLINK("https://www.facebook.com/pfbid0312VF7RoNSQ1Azu25ZEGWbr8a71v5u6FmfqGthVccJVq4xkkvk1qrGhkJ2AZGeApRl")</f>
        <v>https://www.facebook.com/pfbid0312VF7RoNSQ1Azu25ZEGWbr8a71v5u6FmfqGthVccJVq4xkkvk1qrGhkJ2AZGeApRl</v>
      </c>
      <c r="R501" t="s">
        <v>32</v>
      </c>
      <c r="S501" t="s">
        <v>33</v>
      </c>
      <c r="T501" t="s">
        <v>34</v>
      </c>
      <c r="U501" t="s">
        <v>899</v>
      </c>
      <c r="V501" t="s">
        <v>900</v>
      </c>
    </row>
    <row r="502" spans="1:21" ht="16">
      <c r="A502" t="s">
        <v>973</v>
      </c>
      <c r="B502" t="s">
        <v>1537</v>
      </c>
      <c r="C502" t="s">
        <v>24</v>
      </c>
      <c r="D502" t="s">
        <v>44</v>
      </c>
      <c r="E502" t="s">
        <v>45</v>
      </c>
      <c r="F502" t="s">
        <v>46</v>
      </c>
      <c r="G502" t="str">
        <f>HYPERLINK("https://www.facebook.com/877749271929844")</f>
        <v>https://www.facebook.com/877749271929844</v>
      </c>
      <c r="H502" t="s">
        <v>28</v>
      </c>
      <c r="I502" t="s">
        <v>876</v>
      </c>
      <c r="K502" t="str">
        <f>HYPERLINK("https://www.facebook.com/100090843379637")</f>
        <v>https://www.facebook.com/100090843379637</v>
      </c>
      <c r="M502" t="s">
        <v>40</v>
      </c>
      <c r="N502" t="s">
        <v>31</v>
      </c>
      <c r="O502" t="s">
        <v>876</v>
      </c>
      <c r="P502" t="str">
        <f>HYPERLINK("https://www.facebook.com/100090843379637")</f>
        <v>https://www.facebook.com/100090843379637</v>
      </c>
      <c r="R502" t="s">
        <v>32</v>
      </c>
      <c r="S502" t="s">
        <v>33</v>
      </c>
      <c r="T502" t="s">
        <v>34</v>
      </c>
      <c r="U502" t="s">
        <v>309</v>
      </c>
    </row>
    <row r="503" spans="1:22" ht="16">
      <c r="A503" t="s">
        <v>973</v>
      </c>
      <c r="B503" t="s">
        <v>1538</v>
      </c>
      <c r="C503" t="s">
        <v>24</v>
      </c>
      <c r="D503" t="s">
        <v>254</v>
      </c>
      <c r="E503" t="s">
        <v>45</v>
      </c>
      <c r="F503" t="s">
        <v>46</v>
      </c>
      <c r="G503" t="str">
        <f>HYPERLINK("https://www.facebook.com/3103553006701333")</f>
        <v>https://www.facebook.com/3103553006701333</v>
      </c>
      <c r="H503" t="s">
        <v>28</v>
      </c>
      <c r="I503" t="s">
        <v>1539</v>
      </c>
      <c r="K503" t="str">
        <f>HYPERLINK("https://www.facebook.com/100011399926620")</f>
        <v>https://www.facebook.com/100011399926620</v>
      </c>
      <c r="M503" t="s">
        <v>30</v>
      </c>
      <c r="N503" t="s">
        <v>31</v>
      </c>
      <c r="O503" t="s">
        <v>1539</v>
      </c>
      <c r="P503" t="str">
        <f>HYPERLINK("https://www.facebook.com/100011399926620")</f>
        <v>https://www.facebook.com/100011399926620</v>
      </c>
      <c r="R503" t="s">
        <v>32</v>
      </c>
      <c r="S503" t="s">
        <v>33</v>
      </c>
      <c r="T503" t="s">
        <v>34</v>
      </c>
      <c r="U503" t="s">
        <v>899</v>
      </c>
      <c r="V503" t="s">
        <v>900</v>
      </c>
    </row>
    <row r="504" spans="1:22" ht="16">
      <c r="A504" t="s">
        <v>973</v>
      </c>
      <c r="B504" t="s">
        <v>808</v>
      </c>
      <c r="C504" t="s">
        <v>24</v>
      </c>
      <c r="D504" t="s">
        <v>254</v>
      </c>
      <c r="E504" t="s">
        <v>45</v>
      </c>
      <c r="F504" t="s">
        <v>46</v>
      </c>
      <c r="G504" t="str">
        <f>HYPERLINK("https://www.facebook.com/1787943492609878")</f>
        <v>https://www.facebook.com/1787943492609878</v>
      </c>
      <c r="H504" t="s">
        <v>28</v>
      </c>
      <c r="I504" t="s">
        <v>1540</v>
      </c>
      <c r="J504" t="s">
        <v>1541</v>
      </c>
      <c r="K504" t="str">
        <f>HYPERLINK("https://www.facebook.com/100041827332799")</f>
        <v>https://www.facebook.com/100041827332799</v>
      </c>
      <c r="M504" t="s">
        <v>30</v>
      </c>
      <c r="N504" t="s">
        <v>31</v>
      </c>
      <c r="O504" t="s">
        <v>1540</v>
      </c>
      <c r="P504" t="str">
        <f>HYPERLINK("https://www.facebook.com/100041827332799")</f>
        <v>https://www.facebook.com/100041827332799</v>
      </c>
      <c r="R504" t="s">
        <v>32</v>
      </c>
      <c r="S504" t="s">
        <v>33</v>
      </c>
      <c r="T504" t="s">
        <v>240</v>
      </c>
      <c r="U504" t="s">
        <v>572</v>
      </c>
      <c r="V504" t="s">
        <v>1542</v>
      </c>
    </row>
    <row r="505" spans="1:22" ht="16">
      <c r="A505" t="s">
        <v>973</v>
      </c>
      <c r="B505" t="s">
        <v>1543</v>
      </c>
      <c r="C505" t="s">
        <v>80</v>
      </c>
      <c r="D505" t="s">
        <v>1544</v>
      </c>
      <c r="E505" t="s">
        <v>74</v>
      </c>
      <c r="F505" t="s">
        <v>3</v>
      </c>
      <c r="G505" t="str">
        <f>HYPERLINK("https://www.facebook.com/westukrnews/posts/pfbid05KpJzZfAmc7DG6HMNPojmy3FDtYQBjx33JCcksAdDUDGcWNSDnn66BSqDiowXeWol?comment_id=936755468923054")</f>
        <v>https://www.facebook.com/westukrnews/posts/pfbid05KpJzZfAmc7DG6HMNPojmy3FDtYQBjx33JCcksAdDUDGcWNSDnn66BSqDiowXeWol?comment_id=936755468923054</v>
      </c>
      <c r="H505" t="s">
        <v>28</v>
      </c>
      <c r="I505" t="s">
        <v>1545</v>
      </c>
      <c r="K505" t="str">
        <f>HYPERLINK("https://www.facebook.com/100026809123686")</f>
        <v>https://www.facebook.com/100026809123686</v>
      </c>
      <c r="M505" t="s">
        <v>40</v>
      </c>
      <c r="N505" t="s">
        <v>31</v>
      </c>
      <c r="O505" t="s">
        <v>813</v>
      </c>
      <c r="P505" t="str">
        <f>HYPERLINK("https://www.facebook.com/264234810584424")</f>
        <v>https://www.facebook.com/264234810584424</v>
      </c>
      <c r="Q505">
        <v>559985</v>
      </c>
      <c r="R505" t="s">
        <v>32</v>
      </c>
      <c r="S505" t="s">
        <v>57</v>
      </c>
      <c r="T505" t="s">
        <v>117</v>
      </c>
      <c r="U505" t="s">
        <v>1546</v>
      </c>
      <c r="V505" t="s">
        <v>1547</v>
      </c>
    </row>
    <row r="506" spans="1:22" ht="16">
      <c r="A506" t="s">
        <v>973</v>
      </c>
      <c r="B506" t="s">
        <v>810</v>
      </c>
      <c r="C506" t="s">
        <v>1548</v>
      </c>
      <c r="D506" t="s">
        <v>1549</v>
      </c>
      <c r="E506" t="s">
        <v>74</v>
      </c>
      <c r="F506" t="s">
        <v>3</v>
      </c>
      <c r="G506" t="str">
        <f>HYPERLINK("https://www.facebook.com/groups/zelenskyjmijprezydent/posts/2429614140887069/?comment_id=2429695017545648")</f>
        <v>https://www.facebook.com/groups/zelenskyjmijprezydent/posts/2429614140887069/?comment_id=2429695017545648</v>
      </c>
      <c r="H506" t="s">
        <v>28</v>
      </c>
      <c r="I506" t="s">
        <v>1550</v>
      </c>
      <c r="K506" t="str">
        <f>HYPERLINK("https://www.facebook.com/100012869410487")</f>
        <v>https://www.facebook.com/100012869410487</v>
      </c>
      <c r="M506" t="s">
        <v>40</v>
      </c>
      <c r="N506" t="s">
        <v>31</v>
      </c>
      <c r="O506" t="s">
        <v>1551</v>
      </c>
      <c r="P506" t="str">
        <f>HYPERLINK("https://www.facebook.com/790973431417823")</f>
        <v>https://www.facebook.com/790973431417823</v>
      </c>
      <c r="Q506">
        <v>40</v>
      </c>
      <c r="R506" t="s">
        <v>32</v>
      </c>
      <c r="S506" t="s">
        <v>85</v>
      </c>
      <c r="T506" t="s">
        <v>34</v>
      </c>
      <c r="U506" t="s">
        <v>235</v>
      </c>
      <c r="V506" t="s">
        <v>236</v>
      </c>
    </row>
    <row r="507" spans="1:22" ht="16">
      <c r="A507" t="s">
        <v>973</v>
      </c>
      <c r="B507" t="s">
        <v>1552</v>
      </c>
      <c r="C507" t="s">
        <v>80</v>
      </c>
      <c r="D507" t="s">
        <v>1553</v>
      </c>
      <c r="E507" t="s">
        <v>74</v>
      </c>
      <c r="F507" t="s">
        <v>3</v>
      </c>
      <c r="G507" t="str">
        <f>HYPERLINK("https://www.facebook.com/westukrnews/posts/pfbid05KpJzZfAmc7DG6HMNPojmy3FDtYQBjx33JCcksAdDUDGcWNSDnn66BSqDiowXeWol?comment_id=2000391024021967")</f>
        <v>https://www.facebook.com/westukrnews/posts/pfbid05KpJzZfAmc7DG6HMNPojmy3FDtYQBjx33JCcksAdDUDGcWNSDnn66BSqDiowXeWol?comment_id=2000391024021967</v>
      </c>
      <c r="H507" t="s">
        <v>28</v>
      </c>
      <c r="I507" t="s">
        <v>1554</v>
      </c>
      <c r="J507" t="s">
        <v>1555</v>
      </c>
      <c r="K507" t="str">
        <f>HYPERLINK("https://www.facebook.com/100037719638975")</f>
        <v>https://www.facebook.com/100037719638975</v>
      </c>
      <c r="M507" t="s">
        <v>40</v>
      </c>
      <c r="N507" t="s">
        <v>31</v>
      </c>
      <c r="O507" t="s">
        <v>813</v>
      </c>
      <c r="P507" t="str">
        <f>HYPERLINK("https://www.facebook.com/264234810584424")</f>
        <v>https://www.facebook.com/264234810584424</v>
      </c>
      <c r="Q507">
        <v>559985</v>
      </c>
      <c r="R507" t="s">
        <v>32</v>
      </c>
      <c r="S507" t="s">
        <v>33</v>
      </c>
      <c r="T507" t="s">
        <v>34</v>
      </c>
      <c r="U507" t="s">
        <v>58</v>
      </c>
      <c r="V507" t="s">
        <v>58</v>
      </c>
    </row>
    <row r="508" spans="1:20" ht="16">
      <c r="A508" t="s">
        <v>973</v>
      </c>
      <c r="B508" t="s">
        <v>1556</v>
      </c>
      <c r="C508" t="s">
        <v>768</v>
      </c>
      <c r="D508" t="s">
        <v>1557</v>
      </c>
      <c r="E508" t="s">
        <v>74</v>
      </c>
      <c r="F508" t="s">
        <v>3</v>
      </c>
      <c r="G508" t="str">
        <f>HYPERLINK("https://www.facebook.com/toyelviv/posts/pfbid02HyVHmdRrHaKvpJCV4k8sSATEQmB44tvrgpepSrJQ66Qs74jVAzPQ6qaz5ZMHUoNBl?comment_id=948857197466795")</f>
        <v>https://www.facebook.com/toyelviv/posts/pfbid02HyVHmdRrHaKvpJCV4k8sSATEQmB44tvrgpepSrJQ66Qs74jVAzPQ6qaz5ZMHUoNBl?comment_id=948857197466795</v>
      </c>
      <c r="H508" t="s">
        <v>28</v>
      </c>
      <c r="I508" t="s">
        <v>1558</v>
      </c>
      <c r="K508" t="str">
        <f>HYPERLINK("https://www.facebook.com/61577008494220")</f>
        <v>https://www.facebook.com/61577008494220</v>
      </c>
      <c r="M508" t="s">
        <v>40</v>
      </c>
      <c r="N508" t="s">
        <v>31</v>
      </c>
      <c r="O508" t="s">
        <v>1559</v>
      </c>
      <c r="P508" t="str">
        <f>HYPERLINK("https://www.facebook.com/320892981422193")</f>
        <v>https://www.facebook.com/320892981422193</v>
      </c>
      <c r="Q508">
        <v>293869</v>
      </c>
      <c r="R508" t="s">
        <v>32</v>
      </c>
      <c r="S508" t="s">
        <v>33</v>
      </c>
      <c r="T508" t="s">
        <v>34</v>
      </c>
    </row>
    <row r="509" spans="1:22" ht="16">
      <c r="A509" t="s">
        <v>973</v>
      </c>
      <c r="B509" t="s">
        <v>1560</v>
      </c>
      <c r="C509" t="s">
        <v>72</v>
      </c>
      <c r="D509" t="s">
        <v>1561</v>
      </c>
      <c r="E509" t="s">
        <v>74</v>
      </c>
      <c r="F509" t="s">
        <v>3</v>
      </c>
      <c r="G509" t="str">
        <f>HYPERLINK("https://www.facebook.com/maria.kovach.roshko/posts/pfbid02qj6hSTAVDko4yJaYnhwX3Hp3GzytZhvFxd67ibEiCAknTYjhjDHARNQWP1SMrSkkl?comment_id=4465696890329651")</f>
        <v>https://www.facebook.com/maria.kovach.roshko/posts/pfbid02qj6hSTAVDko4yJaYnhwX3Hp3GzytZhvFxd67ibEiCAknTYjhjDHARNQWP1SMrSkkl?comment_id=4465696890329651</v>
      </c>
      <c r="H509" t="s">
        <v>28</v>
      </c>
      <c r="I509" t="s">
        <v>1562</v>
      </c>
      <c r="K509" t="str">
        <f>HYPERLINK("https://www.facebook.com/100009101085938")</f>
        <v>https://www.facebook.com/100009101085938</v>
      </c>
      <c r="M509" t="s">
        <v>40</v>
      </c>
      <c r="N509" t="s">
        <v>31</v>
      </c>
      <c r="O509" t="s">
        <v>1563</v>
      </c>
      <c r="P509" t="str">
        <f>HYPERLINK("https://www.facebook.com/100004512849914")</f>
        <v>https://www.facebook.com/100004512849914</v>
      </c>
      <c r="R509" t="s">
        <v>32</v>
      </c>
      <c r="S509" t="s">
        <v>33</v>
      </c>
      <c r="T509" t="s">
        <v>34</v>
      </c>
      <c r="U509" t="s">
        <v>58</v>
      </c>
      <c r="V509" t="s">
        <v>58</v>
      </c>
    </row>
    <row r="510" spans="1:19" ht="16">
      <c r="A510" t="s">
        <v>973</v>
      </c>
      <c r="B510" t="s">
        <v>1564</v>
      </c>
      <c r="C510" t="s">
        <v>24</v>
      </c>
      <c r="D510" t="s">
        <v>254</v>
      </c>
      <c r="E510" t="s">
        <v>45</v>
      </c>
      <c r="F510" t="s">
        <v>46</v>
      </c>
      <c r="G510" t="str">
        <f>HYPERLINK("https://www.facebook.com/1974815506723783")</f>
        <v>https://www.facebook.com/1974815506723783</v>
      </c>
      <c r="H510" t="s">
        <v>28</v>
      </c>
      <c r="I510" t="s">
        <v>1565</v>
      </c>
      <c r="K510" t="str">
        <f>HYPERLINK("https://www.facebook.com/100025860587307")</f>
        <v>https://www.facebook.com/100025860587307</v>
      </c>
      <c r="M510" t="s">
        <v>40</v>
      </c>
      <c r="N510" t="s">
        <v>31</v>
      </c>
      <c r="O510" t="s">
        <v>1565</v>
      </c>
      <c r="P510" t="str">
        <f>HYPERLINK("https://www.facebook.com/100025860587307")</f>
        <v>https://www.facebook.com/100025860587307</v>
      </c>
      <c r="R510" t="s">
        <v>32</v>
      </c>
      <c r="S510" t="s">
        <v>33</v>
      </c>
    </row>
    <row r="511" spans="1:19" ht="16">
      <c r="A511" t="s">
        <v>973</v>
      </c>
      <c r="B511" t="s">
        <v>1566</v>
      </c>
      <c r="C511" t="s">
        <v>24</v>
      </c>
      <c r="D511" t="s">
        <v>238</v>
      </c>
      <c r="E511" t="s">
        <v>45</v>
      </c>
      <c r="F511" t="s">
        <v>3</v>
      </c>
      <c r="G511" t="str">
        <f>HYPERLINK("https://www.facebook.com/122193323390515978")</f>
        <v>https://www.facebook.com/122193323390515978</v>
      </c>
      <c r="H511" t="s">
        <v>28</v>
      </c>
      <c r="I511" t="s">
        <v>1567</v>
      </c>
      <c r="K511" t="str">
        <f>HYPERLINK("https://www.facebook.com/61565479350998")</f>
        <v>https://www.facebook.com/61565479350998</v>
      </c>
      <c r="M511" t="s">
        <v>40</v>
      </c>
      <c r="N511" t="s">
        <v>31</v>
      </c>
      <c r="O511" t="s">
        <v>1567</v>
      </c>
      <c r="P511" t="str">
        <f>HYPERLINK("https://www.facebook.com/61565479350998")</f>
        <v>https://www.facebook.com/61565479350998</v>
      </c>
      <c r="R511" t="s">
        <v>32</v>
      </c>
      <c r="S511" t="s">
        <v>33</v>
      </c>
    </row>
    <row r="512" spans="1:22" ht="16">
      <c r="A512" t="s">
        <v>973</v>
      </c>
      <c r="B512" t="s">
        <v>1568</v>
      </c>
      <c r="C512" t="s">
        <v>24</v>
      </c>
      <c r="D512" t="s">
        <v>1569</v>
      </c>
      <c r="E512" t="s">
        <v>26</v>
      </c>
      <c r="F512" t="s">
        <v>55</v>
      </c>
      <c r="G512" t="str">
        <f>HYPERLINK("https://www.facebook.com/4286169408298775")</f>
        <v>https://www.facebook.com/4286169408298775</v>
      </c>
      <c r="H512" t="s">
        <v>28</v>
      </c>
      <c r="I512" t="s">
        <v>1570</v>
      </c>
      <c r="K512" t="str">
        <f>HYPERLINK("https://www.facebook.com/100007172743264")</f>
        <v>https://www.facebook.com/100007172743264</v>
      </c>
      <c r="M512" t="s">
        <v>40</v>
      </c>
      <c r="N512" t="s">
        <v>31</v>
      </c>
      <c r="O512" t="s">
        <v>1570</v>
      </c>
      <c r="P512" t="str">
        <f>HYPERLINK("https://www.facebook.com/100007172743264")</f>
        <v>https://www.facebook.com/100007172743264</v>
      </c>
      <c r="R512" t="s">
        <v>32</v>
      </c>
      <c r="S512" t="s">
        <v>33</v>
      </c>
      <c r="T512" t="s">
        <v>34</v>
      </c>
      <c r="U512" t="s">
        <v>167</v>
      </c>
      <c r="V512" t="s">
        <v>189</v>
      </c>
    </row>
    <row r="513" spans="1:22" ht="16">
      <c r="A513" t="s">
        <v>973</v>
      </c>
      <c r="B513" t="s">
        <v>1571</v>
      </c>
      <c r="C513" t="s">
        <v>80</v>
      </c>
      <c r="D513" t="s">
        <v>1572</v>
      </c>
      <c r="E513" t="s">
        <v>74</v>
      </c>
      <c r="F513" t="s">
        <v>3</v>
      </c>
      <c r="G513" t="str">
        <f>HYPERLINK("https://www.facebook.com/westukrnews/posts/pfbid05KpJzZfAmc7DG6HMNPojmy3FDtYQBjx33JCcksAdDUDGcWNSDnn66BSqDiowXeWol?comment_id=1443976613905307")</f>
        <v>https://www.facebook.com/westukrnews/posts/pfbid05KpJzZfAmc7DG6HMNPojmy3FDtYQBjx33JCcksAdDUDGcWNSDnn66BSqDiowXeWol?comment_id=1443976613905307</v>
      </c>
      <c r="H513" t="s">
        <v>28</v>
      </c>
      <c r="I513" t="s">
        <v>1573</v>
      </c>
      <c r="J513" t="s">
        <v>1574</v>
      </c>
      <c r="K513" t="str">
        <f>HYPERLINK("https://www.facebook.com/100027873917568")</f>
        <v>https://www.facebook.com/100027873917568</v>
      </c>
      <c r="M513" t="s">
        <v>30</v>
      </c>
      <c r="N513" t="s">
        <v>31</v>
      </c>
      <c r="O513" t="s">
        <v>813</v>
      </c>
      <c r="P513" t="str">
        <f>HYPERLINK("https://www.facebook.com/264234810584424")</f>
        <v>https://www.facebook.com/264234810584424</v>
      </c>
      <c r="Q513">
        <v>559985</v>
      </c>
      <c r="R513" t="s">
        <v>32</v>
      </c>
      <c r="S513" t="s">
        <v>85</v>
      </c>
      <c r="T513" t="s">
        <v>256</v>
      </c>
      <c r="U513" t="s">
        <v>992</v>
      </c>
      <c r="V513" t="s">
        <v>992</v>
      </c>
    </row>
    <row r="514" spans="1:19" ht="16">
      <c r="A514" t="s">
        <v>973</v>
      </c>
      <c r="B514" t="s">
        <v>1571</v>
      </c>
      <c r="C514" t="s">
        <v>24</v>
      </c>
      <c r="D514" t="s">
        <v>49</v>
      </c>
      <c r="E514" t="s">
        <v>45</v>
      </c>
      <c r="F514" t="s">
        <v>46</v>
      </c>
      <c r="G514" t="str">
        <f>HYPERLINK("https://www.facebook.com/1554324255679757")</f>
        <v>https://www.facebook.com/1554324255679757</v>
      </c>
      <c r="H514" t="s">
        <v>28</v>
      </c>
      <c r="I514" t="s">
        <v>1575</v>
      </c>
      <c r="K514" t="str">
        <f>HYPERLINK("https://www.facebook.com/100033065924161")</f>
        <v>https://www.facebook.com/100033065924161</v>
      </c>
      <c r="M514" t="s">
        <v>30</v>
      </c>
      <c r="N514" t="s">
        <v>31</v>
      </c>
      <c r="O514" t="s">
        <v>1575</v>
      </c>
      <c r="P514" t="str">
        <f>HYPERLINK("https://www.facebook.com/100033065924161")</f>
        <v>https://www.facebook.com/100033065924161</v>
      </c>
      <c r="R514" t="s">
        <v>32</v>
      </c>
      <c r="S514" t="s">
        <v>33</v>
      </c>
    </row>
    <row r="515" spans="1:22" ht="16">
      <c r="A515" t="s">
        <v>973</v>
      </c>
      <c r="B515" t="s">
        <v>1576</v>
      </c>
      <c r="C515" t="s">
        <v>72</v>
      </c>
      <c r="D515" t="s">
        <v>1577</v>
      </c>
      <c r="E515" t="s">
        <v>74</v>
      </c>
      <c r="F515" t="s">
        <v>3</v>
      </c>
      <c r="G515" t="str">
        <f>HYPERLINK("https://www.facebook.com/permalink.php?story_fbid=pfbid0oe6Um7pN276QoEDBwEx2FQ9wPdrmtpQaiGt2p6g9ZdVtZnKSNTt7QSoobVSCty7ol&amp;id=100011701954282&amp;comment_id=2350879672001340&amp;reply_comment_id=1264695871694001")</f>
        <v>https://www.facebook.com/permalink.php?story_fbid=pfbid0oe6Um7pN276QoEDBwEx2FQ9wPdrmtpQaiGt2p6g9ZdVtZnKSNTt7QSoobVSCty7ol&amp;id=100011701954282&amp;comment_id=2350879672001340&amp;reply_comment_id=1264695871694001</v>
      </c>
      <c r="H515" t="s">
        <v>28</v>
      </c>
      <c r="I515" t="s">
        <v>1578</v>
      </c>
      <c r="K515" t="str">
        <f>HYPERLINK("https://www.facebook.com/pfbid02J6NLtPyempzs4zpULgXWYdwv2pM8zTbFLqL1Ye8PZeaoxPfxfdfmjaPK6z4SYujZl")</f>
        <v>https://www.facebook.com/pfbid02J6NLtPyempzs4zpULgXWYdwv2pM8zTbFLqL1Ye8PZeaoxPfxfdfmjaPK6z4SYujZl</v>
      </c>
      <c r="M515" t="s">
        <v>30</v>
      </c>
      <c r="N515" t="s">
        <v>31</v>
      </c>
      <c r="O515" t="s">
        <v>914</v>
      </c>
      <c r="P515" t="str">
        <f>HYPERLINK("https://www.facebook.com/pfbid0312VF7RoNSQ1Azu25ZEGWbr8a71v5u6FmfqGthVccJVq4xkkvk1qrGhkJ2AZGeApRl")</f>
        <v>https://www.facebook.com/pfbid0312VF7RoNSQ1Azu25ZEGWbr8a71v5u6FmfqGthVccJVq4xkkvk1qrGhkJ2AZGeApRl</v>
      </c>
      <c r="R515" t="s">
        <v>32</v>
      </c>
      <c r="S515" t="s">
        <v>85</v>
      </c>
      <c r="T515" t="s">
        <v>34</v>
      </c>
      <c r="U515" t="s">
        <v>899</v>
      </c>
      <c r="V515" t="s">
        <v>900</v>
      </c>
    </row>
    <row r="516" spans="1:19" ht="16">
      <c r="A516" t="s">
        <v>973</v>
      </c>
      <c r="B516" t="s">
        <v>1579</v>
      </c>
      <c r="C516" t="s">
        <v>24</v>
      </c>
      <c r="D516" t="s">
        <v>49</v>
      </c>
      <c r="E516" t="s">
        <v>45</v>
      </c>
      <c r="F516" t="s">
        <v>46</v>
      </c>
      <c r="G516" t="str">
        <f>HYPERLINK("https://www.facebook.com/26082087408078701")</f>
        <v>https://www.facebook.com/26082087408078701</v>
      </c>
      <c r="H516" t="s">
        <v>28</v>
      </c>
      <c r="I516" t="s">
        <v>1580</v>
      </c>
      <c r="K516" t="str">
        <f>HYPERLINK("https://www.facebook.com/100001123925448")</f>
        <v>https://www.facebook.com/100001123925448</v>
      </c>
      <c r="M516" t="s">
        <v>40</v>
      </c>
      <c r="N516" t="s">
        <v>31</v>
      </c>
      <c r="O516" t="s">
        <v>1580</v>
      </c>
      <c r="P516" t="str">
        <f>HYPERLINK("https://www.facebook.com/100001123925448")</f>
        <v>https://www.facebook.com/100001123925448</v>
      </c>
      <c r="R516" t="s">
        <v>32</v>
      </c>
      <c r="S516" t="s">
        <v>33</v>
      </c>
    </row>
    <row r="517" spans="1:19" ht="16">
      <c r="A517" t="s">
        <v>973</v>
      </c>
      <c r="B517" t="s">
        <v>1581</v>
      </c>
      <c r="C517" t="s">
        <v>24</v>
      </c>
      <c r="D517" t="s">
        <v>254</v>
      </c>
      <c r="E517" t="s">
        <v>45</v>
      </c>
      <c r="F517" t="s">
        <v>46</v>
      </c>
      <c r="G517" t="str">
        <f>HYPERLINK("https://www.facebook.com/25575464708798889")</f>
        <v>https://www.facebook.com/25575464708798889</v>
      </c>
      <c r="H517" t="s">
        <v>28</v>
      </c>
      <c r="I517" t="s">
        <v>919</v>
      </c>
      <c r="K517" t="str">
        <f>HYPERLINK("https://www.facebook.com/100001753921057")</f>
        <v>https://www.facebook.com/100001753921057</v>
      </c>
      <c r="M517" t="s">
        <v>30</v>
      </c>
      <c r="N517" t="s">
        <v>31</v>
      </c>
      <c r="O517" t="s">
        <v>1582</v>
      </c>
      <c r="P517" t="str">
        <f>HYPERLINK("https://www.facebook.com/807503986021638")</f>
        <v>https://www.facebook.com/807503986021638</v>
      </c>
      <c r="Q517">
        <v>55357</v>
      </c>
      <c r="R517" t="s">
        <v>32</v>
      </c>
      <c r="S517" t="s">
        <v>33</v>
      </c>
    </row>
    <row r="518" spans="1:22" ht="16">
      <c r="A518" t="s">
        <v>973</v>
      </c>
      <c r="B518" t="s">
        <v>1583</v>
      </c>
      <c r="C518" t="s">
        <v>24</v>
      </c>
      <c r="D518" t="s">
        <v>1584</v>
      </c>
      <c r="E518" t="s">
        <v>45</v>
      </c>
      <c r="F518" t="s">
        <v>102</v>
      </c>
      <c r="G518" t="str">
        <f>HYPERLINK("https://www.facebook.com/3320073854819677")</f>
        <v>https://www.facebook.com/3320073854819677</v>
      </c>
      <c r="H518" t="s">
        <v>28</v>
      </c>
      <c r="I518" t="s">
        <v>1563</v>
      </c>
      <c r="K518" t="str">
        <f>HYPERLINK("https://www.facebook.com/100004512849914")</f>
        <v>https://www.facebook.com/100004512849914</v>
      </c>
      <c r="M518" t="s">
        <v>30</v>
      </c>
      <c r="N518" t="s">
        <v>31</v>
      </c>
      <c r="O518" t="s">
        <v>1563</v>
      </c>
      <c r="P518" t="str">
        <f>HYPERLINK("https://www.facebook.com/100004512849914")</f>
        <v>https://www.facebook.com/100004512849914</v>
      </c>
      <c r="R518" t="s">
        <v>32</v>
      </c>
      <c r="S518" t="s">
        <v>33</v>
      </c>
      <c r="T518" t="s">
        <v>34</v>
      </c>
      <c r="U518" t="s">
        <v>487</v>
      </c>
      <c r="V518" t="s">
        <v>1585</v>
      </c>
    </row>
    <row r="519" spans="1:22" ht="16">
      <c r="A519" t="s">
        <v>973</v>
      </c>
      <c r="B519" t="s">
        <v>1586</v>
      </c>
      <c r="C519" t="s">
        <v>72</v>
      </c>
      <c r="D519" t="s">
        <v>1587</v>
      </c>
      <c r="E519" t="s">
        <v>74</v>
      </c>
      <c r="F519" t="s">
        <v>3</v>
      </c>
      <c r="G519" t="str">
        <f>HYPERLINK("https://www.facebook.com/permalink.php?story_fbid=pfbid0oe6Um7pN276QoEDBwEx2FQ9wPdrmtpQaiGt2p6g9ZdVtZnKSNTt7QSoobVSCty7ol&amp;id=100011701954282&amp;comment_id=1591697212098815")</f>
        <v>https://www.facebook.com/permalink.php?story_fbid=pfbid0oe6Um7pN276QoEDBwEx2FQ9wPdrmtpQaiGt2p6g9ZdVtZnKSNTt7QSoobVSCty7ol&amp;id=100011701954282&amp;comment_id=1591697212098815</v>
      </c>
      <c r="H519" t="s">
        <v>28</v>
      </c>
      <c r="I519" t="s">
        <v>1588</v>
      </c>
      <c r="K519" t="str">
        <f>HYPERLINK("https://www.facebook.com/pfbid02wTRdKApgFPjXzne91j8BaRHHHHbzcJ7MRaBdjQgRDHq2ewWUiijJB4o7HRFwy9Wil")</f>
        <v>https://www.facebook.com/pfbid02wTRdKApgFPjXzne91j8BaRHHHHbzcJ7MRaBdjQgRDHq2ewWUiijJB4o7HRFwy9Wil</v>
      </c>
      <c r="M519" t="s">
        <v>40</v>
      </c>
      <c r="N519" t="s">
        <v>31</v>
      </c>
      <c r="O519" t="s">
        <v>914</v>
      </c>
      <c r="P519" t="str">
        <f>HYPERLINK("https://www.facebook.com/pfbid0312VF7RoNSQ1Azu25ZEGWbr8a71v5u6FmfqGthVccJVq4xkkvk1qrGhkJ2AZGeApRl")</f>
        <v>https://www.facebook.com/pfbid0312VF7RoNSQ1Azu25ZEGWbr8a71v5u6FmfqGthVccJVq4xkkvk1qrGhkJ2AZGeApRl</v>
      </c>
      <c r="R519" t="s">
        <v>32</v>
      </c>
      <c r="S519" t="s">
        <v>33</v>
      </c>
      <c r="T519" t="s">
        <v>34</v>
      </c>
      <c r="U519" t="s">
        <v>408</v>
      </c>
      <c r="V519" t="s">
        <v>474</v>
      </c>
    </row>
    <row r="520" spans="1:22" ht="16">
      <c r="A520" t="s">
        <v>973</v>
      </c>
      <c r="B520" t="s">
        <v>1589</v>
      </c>
      <c r="C520" t="s">
        <v>80</v>
      </c>
      <c r="D520" t="s">
        <v>1590</v>
      </c>
      <c r="E520" t="s">
        <v>74</v>
      </c>
      <c r="F520" t="s">
        <v>3</v>
      </c>
      <c r="G520" t="str">
        <f>HYPERLINK("https://www.facebook.com/westukrnews/posts/pfbid05KpJzZfAmc7DG6HMNPojmy3FDtYQBjx33JCcksAdDUDGcWNSDnn66BSqDiowXeWol?comment_id=2770937913278133")</f>
        <v>https://www.facebook.com/westukrnews/posts/pfbid05KpJzZfAmc7DG6HMNPojmy3FDtYQBjx33JCcksAdDUDGcWNSDnn66BSqDiowXeWol?comment_id=2770937913278133</v>
      </c>
      <c r="H520" t="s">
        <v>28</v>
      </c>
      <c r="I520" t="s">
        <v>1591</v>
      </c>
      <c r="K520" t="str">
        <f>HYPERLINK("https://www.facebook.com/100016146797927")</f>
        <v>https://www.facebook.com/100016146797927</v>
      </c>
      <c r="M520" t="s">
        <v>30</v>
      </c>
      <c r="N520" t="s">
        <v>31</v>
      </c>
      <c r="O520" t="s">
        <v>813</v>
      </c>
      <c r="P520" t="str">
        <f>HYPERLINK("https://www.facebook.com/264234810584424")</f>
        <v>https://www.facebook.com/264234810584424</v>
      </c>
      <c r="Q520">
        <v>559985</v>
      </c>
      <c r="R520" t="s">
        <v>32</v>
      </c>
      <c r="S520" t="s">
        <v>33</v>
      </c>
      <c r="T520" t="s">
        <v>34</v>
      </c>
      <c r="U520" t="s">
        <v>408</v>
      </c>
      <c r="V520" t="s">
        <v>1592</v>
      </c>
    </row>
    <row r="521" spans="1:20" ht="16">
      <c r="A521" t="s">
        <v>973</v>
      </c>
      <c r="B521" t="s">
        <v>1593</v>
      </c>
      <c r="C521" t="s">
        <v>768</v>
      </c>
      <c r="D521" t="s">
        <v>1594</v>
      </c>
      <c r="E521" t="s">
        <v>74</v>
      </c>
      <c r="F521" t="s">
        <v>3</v>
      </c>
      <c r="G521" t="str">
        <f>HYPERLINK("https://www.facebook.com/toyelviv/posts/pfbid02HyVHmdRrHaKvpJCV4k8sSATEQmB44tvrgpepSrJQ66Qs74jVAzPQ6qaz5ZMHUoNBl?comment_id=1797740717560981")</f>
        <v>https://www.facebook.com/toyelviv/posts/pfbid02HyVHmdRrHaKvpJCV4k8sSATEQmB44tvrgpepSrJQ66Qs74jVAzPQ6qaz5ZMHUoNBl?comment_id=1797740717560981</v>
      </c>
      <c r="H521" t="s">
        <v>28</v>
      </c>
      <c r="I521" t="s">
        <v>1595</v>
      </c>
      <c r="K521" t="str">
        <f>HYPERLINK("https://www.facebook.com/100022078326956")</f>
        <v>https://www.facebook.com/100022078326956</v>
      </c>
      <c r="M521" t="s">
        <v>40</v>
      </c>
      <c r="N521" t="s">
        <v>31</v>
      </c>
      <c r="O521" t="s">
        <v>1559</v>
      </c>
      <c r="P521" t="str">
        <f>HYPERLINK("https://www.facebook.com/320892981422193")</f>
        <v>https://www.facebook.com/320892981422193</v>
      </c>
      <c r="Q521">
        <v>293869</v>
      </c>
      <c r="R521" t="s">
        <v>32</v>
      </c>
      <c r="S521" t="s">
        <v>33</v>
      </c>
      <c r="T521" t="s">
        <v>34</v>
      </c>
    </row>
    <row r="522" spans="1:19" ht="16">
      <c r="A522" t="s">
        <v>973</v>
      </c>
      <c r="B522" t="s">
        <v>1596</v>
      </c>
      <c r="C522" t="s">
        <v>80</v>
      </c>
      <c r="D522" t="s">
        <v>1597</v>
      </c>
      <c r="E522" t="s">
        <v>74</v>
      </c>
      <c r="F522" t="s">
        <v>3</v>
      </c>
      <c r="G522" t="str">
        <f>HYPERLINK("https://www.facebook.com/groups/zelenskyjmijprezydent/posts/2429638694217947/?comment_id=2429654024216414")</f>
        <v>https://www.facebook.com/groups/zelenskyjmijprezydent/posts/2429638694217947/?comment_id=2429654024216414</v>
      </c>
      <c r="H522" t="s">
        <v>28</v>
      </c>
      <c r="I522" t="s">
        <v>1598</v>
      </c>
      <c r="K522" t="str">
        <f>HYPERLINK("https://www.facebook.com/100014186925826")</f>
        <v>https://www.facebook.com/100014186925826</v>
      </c>
      <c r="M522" t="s">
        <v>40</v>
      </c>
      <c r="N522" t="s">
        <v>31</v>
      </c>
      <c r="O522" t="s">
        <v>1551</v>
      </c>
      <c r="P522" t="str">
        <f>HYPERLINK("https://www.facebook.com/790973431417823")</f>
        <v>https://www.facebook.com/790973431417823</v>
      </c>
      <c r="Q522">
        <v>40</v>
      </c>
      <c r="R522" t="s">
        <v>32</v>
      </c>
      <c r="S522" t="s">
        <v>33</v>
      </c>
    </row>
    <row r="523" spans="1:22" ht="16">
      <c r="A523" t="s">
        <v>973</v>
      </c>
      <c r="B523" t="s">
        <v>1599</v>
      </c>
      <c r="C523" t="s">
        <v>768</v>
      </c>
      <c r="D523" t="s">
        <v>1600</v>
      </c>
      <c r="E523" t="s">
        <v>74</v>
      </c>
      <c r="F523" t="s">
        <v>3</v>
      </c>
      <c r="G523" t="str">
        <f>HYPERLINK("https://www.facebook.com/toyelviv/posts/pfbid02HyVHmdRrHaKvpJCV4k8sSATEQmB44tvrgpepSrJQ66Qs74jVAzPQ6qaz5ZMHUoNBl?comment_id=2031177600763520&amp;reply_comment_id=1970616513850592")</f>
        <v>https://www.facebook.com/toyelviv/posts/pfbid02HyVHmdRrHaKvpJCV4k8sSATEQmB44tvrgpepSrJQ66Qs74jVAzPQ6qaz5ZMHUoNBl?comment_id=2031177600763520&amp;reply_comment_id=1970616513850592</v>
      </c>
      <c r="H523" t="s">
        <v>28</v>
      </c>
      <c r="I523" t="s">
        <v>1601</v>
      </c>
      <c r="K523" t="str">
        <f>HYPERLINK("https://www.facebook.com/100007678505475")</f>
        <v>https://www.facebook.com/100007678505475</v>
      </c>
      <c r="M523" t="s">
        <v>30</v>
      </c>
      <c r="N523" t="s">
        <v>31</v>
      </c>
      <c r="O523" t="s">
        <v>1559</v>
      </c>
      <c r="P523" t="str">
        <f>HYPERLINK("https://www.facebook.com/320892981422193")</f>
        <v>https://www.facebook.com/320892981422193</v>
      </c>
      <c r="Q523">
        <v>293869</v>
      </c>
      <c r="R523" t="s">
        <v>32</v>
      </c>
      <c r="S523" t="s">
        <v>85</v>
      </c>
      <c r="T523" t="s">
        <v>34</v>
      </c>
      <c r="U523" t="s">
        <v>41</v>
      </c>
      <c r="V523" t="s">
        <v>42</v>
      </c>
    </row>
    <row r="524" spans="1:19" ht="16">
      <c r="A524" t="s">
        <v>973</v>
      </c>
      <c r="B524" t="s">
        <v>1602</v>
      </c>
      <c r="C524" t="s">
        <v>1548</v>
      </c>
      <c r="D524" t="s">
        <v>1603</v>
      </c>
      <c r="E524" t="s">
        <v>74</v>
      </c>
      <c r="F524" t="s">
        <v>3</v>
      </c>
      <c r="G524" t="str">
        <f>HYPERLINK("https://www.facebook.com/groups/zelenskyjmijprezydent/posts/2429614140887069/?comment_id=2429652867549863")</f>
        <v>https://www.facebook.com/groups/zelenskyjmijprezydent/posts/2429614140887069/?comment_id=2429652867549863</v>
      </c>
      <c r="H524" t="s">
        <v>28</v>
      </c>
      <c r="I524" t="s">
        <v>1598</v>
      </c>
      <c r="K524" t="str">
        <f>HYPERLINK("https://www.facebook.com/100014186925826")</f>
        <v>https://www.facebook.com/100014186925826</v>
      </c>
      <c r="M524" t="s">
        <v>40</v>
      </c>
      <c r="N524" t="s">
        <v>31</v>
      </c>
      <c r="O524" t="s">
        <v>1551</v>
      </c>
      <c r="P524" t="str">
        <f>HYPERLINK("https://www.facebook.com/790973431417823")</f>
        <v>https://www.facebook.com/790973431417823</v>
      </c>
      <c r="Q524">
        <v>40</v>
      </c>
      <c r="R524" t="s">
        <v>32</v>
      </c>
      <c r="S524" t="s">
        <v>33</v>
      </c>
    </row>
    <row r="525" spans="1:22" ht="16">
      <c r="A525" t="s">
        <v>973</v>
      </c>
      <c r="B525" t="s">
        <v>1602</v>
      </c>
      <c r="C525" t="s">
        <v>24</v>
      </c>
      <c r="D525" t="s">
        <v>238</v>
      </c>
      <c r="E525" t="s">
        <v>45</v>
      </c>
      <c r="F525" t="s">
        <v>3</v>
      </c>
      <c r="G525" t="str">
        <f>HYPERLINK("https://www.facebook.com/2148288419320232")</f>
        <v>https://www.facebook.com/2148288419320232</v>
      </c>
      <c r="H525" t="s">
        <v>28</v>
      </c>
      <c r="I525" t="s">
        <v>1604</v>
      </c>
      <c r="K525" t="str">
        <f>HYPERLINK("https://www.facebook.com/100024172854129")</f>
        <v>https://www.facebook.com/100024172854129</v>
      </c>
      <c r="M525" t="s">
        <v>40</v>
      </c>
      <c r="N525" t="s">
        <v>31</v>
      </c>
      <c r="O525" t="s">
        <v>1604</v>
      </c>
      <c r="P525" t="str">
        <f>HYPERLINK("https://www.facebook.com/100024172854129")</f>
        <v>https://www.facebook.com/100024172854129</v>
      </c>
      <c r="R525" t="s">
        <v>32</v>
      </c>
      <c r="S525" t="s">
        <v>33</v>
      </c>
      <c r="T525" t="s">
        <v>34</v>
      </c>
      <c r="U525" t="s">
        <v>235</v>
      </c>
      <c r="V525" t="s">
        <v>236</v>
      </c>
    </row>
    <row r="526" spans="1:22" ht="16">
      <c r="A526" t="s">
        <v>973</v>
      </c>
      <c r="B526" t="s">
        <v>1605</v>
      </c>
      <c r="C526" t="s">
        <v>24</v>
      </c>
      <c r="D526" t="s">
        <v>254</v>
      </c>
      <c r="E526" t="s">
        <v>45</v>
      </c>
      <c r="F526" t="s">
        <v>46</v>
      </c>
      <c r="G526" t="str">
        <f>HYPERLINK("https://www.facebook.com/3550751865088453")</f>
        <v>https://www.facebook.com/3550751865088453</v>
      </c>
      <c r="H526" t="s">
        <v>28</v>
      </c>
      <c r="I526" t="s">
        <v>1606</v>
      </c>
      <c r="K526" t="str">
        <f>HYPERLINK("https://www.facebook.com/100004610234549")</f>
        <v>https://www.facebook.com/100004610234549</v>
      </c>
      <c r="M526" t="s">
        <v>40</v>
      </c>
      <c r="N526" t="s">
        <v>31</v>
      </c>
      <c r="O526" t="s">
        <v>1606</v>
      </c>
      <c r="P526" t="str">
        <f>HYPERLINK("https://www.facebook.com/100004610234549")</f>
        <v>https://www.facebook.com/100004610234549</v>
      </c>
      <c r="R526" t="s">
        <v>32</v>
      </c>
      <c r="S526" t="s">
        <v>33</v>
      </c>
      <c r="T526" t="s">
        <v>34</v>
      </c>
      <c r="U526" t="s">
        <v>58</v>
      </c>
      <c r="V526" t="s">
        <v>58</v>
      </c>
    </row>
    <row r="527" spans="1:22" ht="16">
      <c r="A527" t="s">
        <v>973</v>
      </c>
      <c r="B527" t="s">
        <v>1605</v>
      </c>
      <c r="C527" t="s">
        <v>80</v>
      </c>
      <c r="D527" t="s">
        <v>1607</v>
      </c>
      <c r="E527" t="s">
        <v>74</v>
      </c>
      <c r="F527" t="s">
        <v>3</v>
      </c>
      <c r="G527" t="str">
        <f>HYPERLINK("https://www.facebook.com/lilia.fedorova.268227/posts/pfbid02cHtH8R8XJX5cgLAPfZM6TFerPPHSeQvnhAQ787ivW8Gx6SphNFLez1AJZUCT8Kr4l?comment_id=844629381960428")</f>
        <v>https://www.facebook.com/lilia.fedorova.268227/posts/pfbid02cHtH8R8XJX5cgLAPfZM6TFerPPHSeQvnhAQ787ivW8Gx6SphNFLez1AJZUCT8Kr4l?comment_id=844629381960428</v>
      </c>
      <c r="H527" t="s">
        <v>28</v>
      </c>
      <c r="I527" t="s">
        <v>1606</v>
      </c>
      <c r="K527" t="str">
        <f>HYPERLINK("https://www.facebook.com/pfbid0269RvzUBeGYUZUArp3hwWasX5RT98VvgWdmi5fiwhDULLe8maeqdnKSjRKMbvD4Fol")</f>
        <v>https://www.facebook.com/pfbid0269RvzUBeGYUZUArp3hwWasX5RT98VvgWdmi5fiwhDULLe8maeqdnKSjRKMbvD4Fol</v>
      </c>
      <c r="M527" t="s">
        <v>40</v>
      </c>
      <c r="N527" t="s">
        <v>31</v>
      </c>
      <c r="O527" t="s">
        <v>1608</v>
      </c>
      <c r="P527" t="str">
        <f>HYPERLINK("https://www.facebook.com/100013655207230")</f>
        <v>https://www.facebook.com/100013655207230</v>
      </c>
      <c r="R527" t="s">
        <v>32</v>
      </c>
      <c r="S527" t="s">
        <v>85</v>
      </c>
      <c r="T527" t="s">
        <v>34</v>
      </c>
      <c r="U527" t="s">
        <v>58</v>
      </c>
      <c r="V527" t="s">
        <v>58</v>
      </c>
    </row>
    <row r="528" spans="1:19" ht="16">
      <c r="A528" t="s">
        <v>973</v>
      </c>
      <c r="B528" t="s">
        <v>1609</v>
      </c>
      <c r="C528" t="s">
        <v>80</v>
      </c>
      <c r="D528" t="s">
        <v>1610</v>
      </c>
      <c r="E528" t="s">
        <v>74</v>
      </c>
      <c r="F528" t="s">
        <v>3</v>
      </c>
      <c r="G528" t="str">
        <f>HYPERLINK("https://www.facebook.com/groups/1780375852027163/posts/26591054960532575/?comment_id=26591153533856051")</f>
        <v>https://www.facebook.com/groups/1780375852027163/posts/26591054960532575/?comment_id=26591153533856051</v>
      </c>
      <c r="H528" t="s">
        <v>28</v>
      </c>
      <c r="I528" t="s">
        <v>1611</v>
      </c>
      <c r="K528" t="str">
        <f>HYPERLINK("https://www.facebook.com/100035341153012")</f>
        <v>https://www.facebook.com/100035341153012</v>
      </c>
      <c r="M528" t="s">
        <v>40</v>
      </c>
      <c r="N528" t="s">
        <v>31</v>
      </c>
      <c r="O528" t="s">
        <v>1612</v>
      </c>
      <c r="P528" t="str">
        <f>HYPERLINK("https://www.facebook.com/1780375852027163")</f>
        <v>https://www.facebook.com/1780375852027163</v>
      </c>
      <c r="Q528">
        <v>55443</v>
      </c>
      <c r="R528" t="s">
        <v>32</v>
      </c>
      <c r="S528" t="s">
        <v>33</v>
      </c>
    </row>
    <row r="529" spans="1:19" ht="16">
      <c r="A529" t="s">
        <v>973</v>
      </c>
      <c r="B529" t="s">
        <v>1613</v>
      </c>
      <c r="C529" t="s">
        <v>80</v>
      </c>
      <c r="D529" t="s">
        <v>1614</v>
      </c>
      <c r="E529" t="s">
        <v>74</v>
      </c>
      <c r="F529" t="s">
        <v>3</v>
      </c>
      <c r="G529" t="str">
        <f>HYPERLINK("https://www.facebook.com/groups/170801610538033/posts/1898248137793363/?comment_id=1898257467792430")</f>
        <v>https://www.facebook.com/groups/170801610538033/posts/1898248137793363/?comment_id=1898257467792430</v>
      </c>
      <c r="H529" t="s">
        <v>28</v>
      </c>
      <c r="I529" t="s">
        <v>919</v>
      </c>
      <c r="K529" t="str">
        <f>HYPERLINK("https://www.facebook.com/100001753921057")</f>
        <v>https://www.facebook.com/100001753921057</v>
      </c>
      <c r="M529" t="s">
        <v>30</v>
      </c>
      <c r="N529" t="s">
        <v>31</v>
      </c>
      <c r="O529" t="s">
        <v>1615</v>
      </c>
      <c r="P529" t="str">
        <f>HYPERLINK("https://www.facebook.com/170801610538033")</f>
        <v>https://www.facebook.com/170801610538033</v>
      </c>
      <c r="Q529">
        <v>1275</v>
      </c>
      <c r="R529" t="s">
        <v>32</v>
      </c>
      <c r="S529" t="s">
        <v>33</v>
      </c>
    </row>
    <row r="530" spans="1:22" ht="16">
      <c r="A530" t="s">
        <v>973</v>
      </c>
      <c r="B530" t="s">
        <v>840</v>
      </c>
      <c r="C530" t="s">
        <v>24</v>
      </c>
      <c r="D530" t="s">
        <v>238</v>
      </c>
      <c r="E530" t="s">
        <v>45</v>
      </c>
      <c r="F530" t="s">
        <v>3</v>
      </c>
      <c r="G530" t="str">
        <f>HYPERLINK("https://www.facebook.com/25030294113312995")</f>
        <v>https://www.facebook.com/25030294113312995</v>
      </c>
      <c r="H530" t="s">
        <v>28</v>
      </c>
      <c r="I530" t="s">
        <v>1616</v>
      </c>
      <c r="J530" t="s">
        <v>1617</v>
      </c>
      <c r="K530" t="str">
        <f>HYPERLINK("https://www.facebook.com/100002772562976")</f>
        <v>https://www.facebook.com/100002772562976</v>
      </c>
      <c r="M530" t="s">
        <v>40</v>
      </c>
      <c r="N530" t="s">
        <v>31</v>
      </c>
      <c r="O530" t="s">
        <v>1616</v>
      </c>
      <c r="P530" t="str">
        <f>HYPERLINK("https://www.facebook.com/100002772562976")</f>
        <v>https://www.facebook.com/100002772562976</v>
      </c>
      <c r="R530" t="s">
        <v>32</v>
      </c>
      <c r="S530" t="s">
        <v>33</v>
      </c>
      <c r="T530" t="s">
        <v>34</v>
      </c>
      <c r="U530" t="s">
        <v>58</v>
      </c>
      <c r="V530" t="s">
        <v>58</v>
      </c>
    </row>
    <row r="531" spans="1:22" ht="16">
      <c r="A531" t="s">
        <v>973</v>
      </c>
      <c r="B531" t="s">
        <v>1618</v>
      </c>
      <c r="C531" t="s">
        <v>24</v>
      </c>
      <c r="D531" t="s">
        <v>1619</v>
      </c>
      <c r="E531" t="s">
        <v>101</v>
      </c>
      <c r="F531" t="s">
        <v>46</v>
      </c>
      <c r="G531" t="str">
        <f>HYPERLINK("https://www.facebook.com/4415256605458192")</f>
        <v>https://www.facebook.com/4415256605458192</v>
      </c>
      <c r="H531" t="s">
        <v>28</v>
      </c>
      <c r="I531" t="s">
        <v>1620</v>
      </c>
      <c r="K531" t="str">
        <f>HYPERLINK("https://www.facebook.com/100009216871676")</f>
        <v>https://www.facebook.com/100009216871676</v>
      </c>
      <c r="M531" t="s">
        <v>40</v>
      </c>
      <c r="N531" t="s">
        <v>31</v>
      </c>
      <c r="O531" t="s">
        <v>1620</v>
      </c>
      <c r="P531" t="str">
        <f>HYPERLINK("https://www.facebook.com/100009216871676")</f>
        <v>https://www.facebook.com/100009216871676</v>
      </c>
      <c r="R531" t="s">
        <v>32</v>
      </c>
      <c r="S531" t="s">
        <v>33</v>
      </c>
      <c r="T531" t="s">
        <v>34</v>
      </c>
      <c r="U531" t="s">
        <v>41</v>
      </c>
      <c r="V531" t="s">
        <v>42</v>
      </c>
    </row>
    <row r="532" spans="1:22" ht="16">
      <c r="A532" t="s">
        <v>973</v>
      </c>
      <c r="B532" t="s">
        <v>1621</v>
      </c>
      <c r="C532" t="s">
        <v>24</v>
      </c>
      <c r="D532" t="s">
        <v>44</v>
      </c>
      <c r="E532" t="s">
        <v>45</v>
      </c>
      <c r="F532" t="s">
        <v>46</v>
      </c>
      <c r="G532" t="str">
        <f>HYPERLINK("https://www.facebook.com/4366510396960066")</f>
        <v>https://www.facebook.com/4366510396960066</v>
      </c>
      <c r="H532" t="s">
        <v>28</v>
      </c>
      <c r="I532" t="s">
        <v>1622</v>
      </c>
      <c r="K532" t="str">
        <f>HYPERLINK("https://www.facebook.com/100008034458281")</f>
        <v>https://www.facebook.com/100008034458281</v>
      </c>
      <c r="M532" t="s">
        <v>30</v>
      </c>
      <c r="N532" t="s">
        <v>31</v>
      </c>
      <c r="O532" t="s">
        <v>1622</v>
      </c>
      <c r="P532" t="str">
        <f>HYPERLINK("https://www.facebook.com/100008034458281")</f>
        <v>https://www.facebook.com/100008034458281</v>
      </c>
      <c r="R532" t="s">
        <v>32</v>
      </c>
      <c r="S532" t="s">
        <v>33</v>
      </c>
      <c r="T532" t="s">
        <v>34</v>
      </c>
      <c r="U532" t="s">
        <v>41</v>
      </c>
      <c r="V532" t="s">
        <v>1623</v>
      </c>
    </row>
    <row r="533" spans="1:22" ht="16">
      <c r="A533" t="s">
        <v>973</v>
      </c>
      <c r="B533" t="s">
        <v>1624</v>
      </c>
      <c r="C533" t="s">
        <v>24</v>
      </c>
      <c r="D533" t="s">
        <v>254</v>
      </c>
      <c r="E533" t="s">
        <v>45</v>
      </c>
      <c r="F533" t="s">
        <v>46</v>
      </c>
      <c r="G533" t="str">
        <f>HYPERLINK("https://www.facebook.com/26066099899690499")</f>
        <v>https://www.facebook.com/26066099899690499</v>
      </c>
      <c r="H533" t="s">
        <v>28</v>
      </c>
      <c r="I533" t="s">
        <v>1625</v>
      </c>
      <c r="K533" t="str">
        <f>HYPERLINK("https://www.facebook.com/100001515345919")</f>
        <v>https://www.facebook.com/100001515345919</v>
      </c>
      <c r="M533" t="s">
        <v>40</v>
      </c>
      <c r="N533" t="s">
        <v>31</v>
      </c>
      <c r="O533" t="s">
        <v>1625</v>
      </c>
      <c r="P533" t="str">
        <f>HYPERLINK("https://www.facebook.com/100001515345919")</f>
        <v>https://www.facebook.com/100001515345919</v>
      </c>
      <c r="R533" t="s">
        <v>32</v>
      </c>
      <c r="S533" t="s">
        <v>33</v>
      </c>
      <c r="T533" t="s">
        <v>34</v>
      </c>
      <c r="U533" t="s">
        <v>478</v>
      </c>
      <c r="V533" t="s">
        <v>479</v>
      </c>
    </row>
    <row r="534" spans="1:19" ht="16">
      <c r="A534" t="s">
        <v>973</v>
      </c>
      <c r="B534" t="s">
        <v>1626</v>
      </c>
      <c r="C534" t="s">
        <v>24</v>
      </c>
      <c r="D534" t="s">
        <v>1627</v>
      </c>
      <c r="E534" t="s">
        <v>101</v>
      </c>
      <c r="F534" t="s">
        <v>3</v>
      </c>
      <c r="G534" t="str">
        <f>HYPERLINK("https://www.facebook.com/2058460244935431")</f>
        <v>https://www.facebook.com/2058460244935431</v>
      </c>
      <c r="H534" t="s">
        <v>28</v>
      </c>
      <c r="I534" t="s">
        <v>1628</v>
      </c>
      <c r="K534" t="str">
        <f>HYPERLINK("https://www.facebook.com/100023144253832")</f>
        <v>https://www.facebook.com/100023144253832</v>
      </c>
      <c r="M534" t="s">
        <v>40</v>
      </c>
      <c r="N534" t="s">
        <v>31</v>
      </c>
      <c r="O534" t="s">
        <v>1628</v>
      </c>
      <c r="P534" t="str">
        <f>HYPERLINK("https://www.facebook.com/100023144253832")</f>
        <v>https://www.facebook.com/100023144253832</v>
      </c>
      <c r="R534" t="s">
        <v>32</v>
      </c>
      <c r="S534" t="s">
        <v>33</v>
      </c>
    </row>
    <row r="535" spans="1:19" ht="16">
      <c r="A535" t="s">
        <v>973</v>
      </c>
      <c r="B535" t="s">
        <v>1629</v>
      </c>
      <c r="C535" t="s">
        <v>24</v>
      </c>
      <c r="D535" t="s">
        <v>49</v>
      </c>
      <c r="E535" t="s">
        <v>45</v>
      </c>
      <c r="F535" t="s">
        <v>46</v>
      </c>
      <c r="G535" t="str">
        <f>HYPERLINK("https://www.facebook.com/1631744491472685")</f>
        <v>https://www.facebook.com/1631744491472685</v>
      </c>
      <c r="H535" t="s">
        <v>28</v>
      </c>
      <c r="I535" t="s">
        <v>1630</v>
      </c>
      <c r="K535" t="str">
        <f>HYPERLINK("https://www.facebook.com/100039114488417")</f>
        <v>https://www.facebook.com/100039114488417</v>
      </c>
      <c r="M535" t="s">
        <v>40</v>
      </c>
      <c r="N535" t="s">
        <v>31</v>
      </c>
      <c r="O535" t="s">
        <v>1630</v>
      </c>
      <c r="P535" t="str">
        <f>HYPERLINK("https://www.facebook.com/100039114488417")</f>
        <v>https://www.facebook.com/100039114488417</v>
      </c>
      <c r="R535" t="s">
        <v>32</v>
      </c>
      <c r="S535" t="s">
        <v>33</v>
      </c>
    </row>
    <row r="536" spans="1:19" ht="16">
      <c r="A536" t="s">
        <v>973</v>
      </c>
      <c r="B536" t="s">
        <v>1631</v>
      </c>
      <c r="C536" t="s">
        <v>24</v>
      </c>
      <c r="D536" t="s">
        <v>254</v>
      </c>
      <c r="E536" t="s">
        <v>45</v>
      </c>
      <c r="F536" t="s">
        <v>46</v>
      </c>
      <c r="G536" t="str">
        <f>HYPERLINK("https://www.facebook.com/1725879868818607")</f>
        <v>https://www.facebook.com/1725879868818607</v>
      </c>
      <c r="H536" t="s">
        <v>28</v>
      </c>
      <c r="I536" t="s">
        <v>1632</v>
      </c>
      <c r="K536" t="str">
        <f>HYPERLINK("https://www.facebook.com/100041898317119")</f>
        <v>https://www.facebook.com/100041898317119</v>
      </c>
      <c r="L536">
        <v>19</v>
      </c>
      <c r="M536" t="s">
        <v>30</v>
      </c>
      <c r="N536" t="s">
        <v>31</v>
      </c>
      <c r="O536" t="s">
        <v>1632</v>
      </c>
      <c r="P536" t="str">
        <f>HYPERLINK("https://www.facebook.com/100041898317119")</f>
        <v>https://www.facebook.com/100041898317119</v>
      </c>
      <c r="Q536">
        <v>19</v>
      </c>
      <c r="R536" t="s">
        <v>32</v>
      </c>
      <c r="S536" t="s">
        <v>33</v>
      </c>
    </row>
    <row r="537" spans="1:22" ht="16">
      <c r="A537" t="s">
        <v>973</v>
      </c>
      <c r="B537" t="s">
        <v>1633</v>
      </c>
      <c r="C537" t="s">
        <v>72</v>
      </c>
      <c r="D537" t="s">
        <v>1634</v>
      </c>
      <c r="E537" t="s">
        <v>74</v>
      </c>
      <c r="F537" t="s">
        <v>3</v>
      </c>
      <c r="G537" t="str">
        <f>HYPERLINK("https://www.facebook.com/antonov.vs/posts/pfbid0WoDA925DuzoodzbS7V28bt4ds9TmfsHEXjvxieTXWzQ3cuc53piJ6r5PvYjhKEdjl?comment_id=1637226054369511")</f>
        <v>https://www.facebook.com/antonov.vs/posts/pfbid0WoDA925DuzoodzbS7V28bt4ds9TmfsHEXjvxieTXWzQ3cuc53piJ6r5PvYjhKEdjl?comment_id=1637226054369511</v>
      </c>
      <c r="H537" t="s">
        <v>28</v>
      </c>
      <c r="I537" t="s">
        <v>1635</v>
      </c>
      <c r="K537" t="str">
        <f>HYPERLINK("https://www.facebook.com/100024809370909")</f>
        <v>https://www.facebook.com/100024809370909</v>
      </c>
      <c r="M537" t="s">
        <v>30</v>
      </c>
      <c r="N537" t="s">
        <v>31</v>
      </c>
      <c r="O537" t="s">
        <v>1127</v>
      </c>
      <c r="P537" t="str">
        <f>HYPERLINK("https://www.facebook.com/100002292546539")</f>
        <v>https://www.facebook.com/100002292546539</v>
      </c>
      <c r="Q537">
        <v>485</v>
      </c>
      <c r="R537" t="s">
        <v>32</v>
      </c>
      <c r="S537" t="s">
        <v>33</v>
      </c>
      <c r="T537" t="s">
        <v>34</v>
      </c>
      <c r="U537" t="s">
        <v>1308</v>
      </c>
      <c r="V537" t="s">
        <v>1309</v>
      </c>
    </row>
    <row r="538" spans="1:19" ht="16">
      <c r="A538" t="s">
        <v>973</v>
      </c>
      <c r="B538" t="s">
        <v>1633</v>
      </c>
      <c r="C538" t="s">
        <v>24</v>
      </c>
      <c r="D538" t="s">
        <v>254</v>
      </c>
      <c r="E538" t="s">
        <v>45</v>
      </c>
      <c r="F538" t="s">
        <v>46</v>
      </c>
      <c r="G538" t="str">
        <f>HYPERLINK("https://www.facebook.com/2429638694217947")</f>
        <v>https://www.facebook.com/2429638694217947</v>
      </c>
      <c r="H538" t="s">
        <v>28</v>
      </c>
      <c r="I538" t="s">
        <v>1636</v>
      </c>
      <c r="K538" t="str">
        <f>HYPERLINK("https://www.facebook.com/100025434991535")</f>
        <v>https://www.facebook.com/100025434991535</v>
      </c>
      <c r="L538">
        <v>524</v>
      </c>
      <c r="M538" t="s">
        <v>30</v>
      </c>
      <c r="N538" t="s">
        <v>31</v>
      </c>
      <c r="O538" t="s">
        <v>1551</v>
      </c>
      <c r="P538" t="str">
        <f>HYPERLINK("https://www.facebook.com/790973431417823")</f>
        <v>https://www.facebook.com/790973431417823</v>
      </c>
      <c r="Q538">
        <v>40</v>
      </c>
      <c r="R538" t="s">
        <v>32</v>
      </c>
      <c r="S538" t="s">
        <v>33</v>
      </c>
    </row>
    <row r="539" spans="1:20" ht="16">
      <c r="A539" t="s">
        <v>973</v>
      </c>
      <c r="B539" t="s">
        <v>1633</v>
      </c>
      <c r="C539" t="s">
        <v>24</v>
      </c>
      <c r="D539" t="s">
        <v>254</v>
      </c>
      <c r="E539" t="s">
        <v>45</v>
      </c>
      <c r="F539" t="s">
        <v>46</v>
      </c>
      <c r="G539" t="str">
        <f>HYPERLINK("https://www.facebook.com/4663443303874193")</f>
        <v>https://www.facebook.com/4663443303874193</v>
      </c>
      <c r="H539" t="s">
        <v>28</v>
      </c>
      <c r="I539" t="s">
        <v>1636</v>
      </c>
      <c r="K539" t="str">
        <f>HYPERLINK("https://www.facebook.com/100025434991535")</f>
        <v>https://www.facebook.com/100025434991535</v>
      </c>
      <c r="L539">
        <v>524</v>
      </c>
      <c r="M539" t="s">
        <v>30</v>
      </c>
      <c r="N539" t="s">
        <v>31</v>
      </c>
      <c r="O539" t="s">
        <v>1585</v>
      </c>
      <c r="P539" t="str">
        <f>HYPERLINK("https://www.facebook.com/1710346042517282")</f>
        <v>https://www.facebook.com/1710346042517282</v>
      </c>
      <c r="Q539">
        <v>15816</v>
      </c>
      <c r="R539" t="s">
        <v>32</v>
      </c>
      <c r="S539" t="s">
        <v>33</v>
      </c>
      <c r="T539" t="s">
        <v>34</v>
      </c>
    </row>
    <row r="540" spans="1:19" ht="16">
      <c r="A540" t="s">
        <v>973</v>
      </c>
      <c r="B540" t="s">
        <v>1637</v>
      </c>
      <c r="C540" t="s">
        <v>24</v>
      </c>
      <c r="D540" t="s">
        <v>254</v>
      </c>
      <c r="E540" t="s">
        <v>45</v>
      </c>
      <c r="F540" t="s">
        <v>46</v>
      </c>
      <c r="G540" t="str">
        <f>HYPERLINK("https://www.facebook.com/1898248137793363")</f>
        <v>https://www.facebook.com/1898248137793363</v>
      </c>
      <c r="H540" t="s">
        <v>28</v>
      </c>
      <c r="I540" t="s">
        <v>919</v>
      </c>
      <c r="K540" t="str">
        <f>HYPERLINK("https://www.facebook.com/100001753921057")</f>
        <v>https://www.facebook.com/100001753921057</v>
      </c>
      <c r="M540" t="s">
        <v>30</v>
      </c>
      <c r="N540" t="s">
        <v>31</v>
      </c>
      <c r="O540" t="s">
        <v>1615</v>
      </c>
      <c r="P540" t="str">
        <f>HYPERLINK("https://www.facebook.com/170801610538033")</f>
        <v>https://www.facebook.com/170801610538033</v>
      </c>
      <c r="Q540">
        <v>1275</v>
      </c>
      <c r="R540" t="s">
        <v>32</v>
      </c>
      <c r="S540" t="s">
        <v>33</v>
      </c>
    </row>
    <row r="541" spans="1:19" ht="16">
      <c r="A541" t="s">
        <v>973</v>
      </c>
      <c r="B541" t="s">
        <v>1637</v>
      </c>
      <c r="C541" t="s">
        <v>24</v>
      </c>
      <c r="D541" t="s">
        <v>254</v>
      </c>
      <c r="E541" t="s">
        <v>45</v>
      </c>
      <c r="F541" t="s">
        <v>46</v>
      </c>
      <c r="G541" t="str">
        <f>HYPERLINK("https://www.facebook.com/1965983397288011")</f>
        <v>https://www.facebook.com/1965983397288011</v>
      </c>
      <c r="H541" t="s">
        <v>28</v>
      </c>
      <c r="I541" t="s">
        <v>919</v>
      </c>
      <c r="K541" t="str">
        <f>HYPERLINK("https://www.facebook.com/100001753921057")</f>
        <v>https://www.facebook.com/100001753921057</v>
      </c>
      <c r="M541" t="s">
        <v>30</v>
      </c>
      <c r="N541" t="s">
        <v>31</v>
      </c>
      <c r="O541" t="s">
        <v>1638</v>
      </c>
      <c r="P541" t="str">
        <f>HYPERLINK("https://www.facebook.com/410379609515072")</f>
        <v>https://www.facebook.com/410379609515072</v>
      </c>
      <c r="Q541">
        <v>11152</v>
      </c>
      <c r="R541" t="s">
        <v>32</v>
      </c>
      <c r="S541" t="s">
        <v>33</v>
      </c>
    </row>
    <row r="542" spans="1:19" ht="16">
      <c r="A542" t="s">
        <v>973</v>
      </c>
      <c r="B542" t="s">
        <v>1637</v>
      </c>
      <c r="C542" t="s">
        <v>24</v>
      </c>
      <c r="D542" t="s">
        <v>254</v>
      </c>
      <c r="E542" t="s">
        <v>45</v>
      </c>
      <c r="F542" t="s">
        <v>46</v>
      </c>
      <c r="G542" t="str">
        <f>HYPERLINK("https://www.facebook.com/26591054960532575")</f>
        <v>https://www.facebook.com/26591054960532575</v>
      </c>
      <c r="H542" t="s">
        <v>28</v>
      </c>
      <c r="I542" t="s">
        <v>919</v>
      </c>
      <c r="K542" t="str">
        <f>HYPERLINK("https://www.facebook.com/100001753921057")</f>
        <v>https://www.facebook.com/100001753921057</v>
      </c>
      <c r="M542" t="s">
        <v>30</v>
      </c>
      <c r="N542" t="s">
        <v>31</v>
      </c>
      <c r="O542" t="s">
        <v>1612</v>
      </c>
      <c r="P542" t="str">
        <f>HYPERLINK("https://www.facebook.com/1780375852027163")</f>
        <v>https://www.facebook.com/1780375852027163</v>
      </c>
      <c r="Q542">
        <v>55443</v>
      </c>
      <c r="R542" t="s">
        <v>32</v>
      </c>
      <c r="S542" t="s">
        <v>33</v>
      </c>
    </row>
    <row r="543" spans="1:19" ht="16">
      <c r="A543" t="s">
        <v>973</v>
      </c>
      <c r="B543" t="s">
        <v>1637</v>
      </c>
      <c r="C543" t="s">
        <v>24</v>
      </c>
      <c r="D543" t="s">
        <v>254</v>
      </c>
      <c r="E543" t="s">
        <v>45</v>
      </c>
      <c r="F543" t="s">
        <v>46</v>
      </c>
      <c r="G543" t="str">
        <f>HYPERLINK("https://www.facebook.com/2294580424360287")</f>
        <v>https://www.facebook.com/2294580424360287</v>
      </c>
      <c r="H543" t="s">
        <v>28</v>
      </c>
      <c r="I543" t="s">
        <v>919</v>
      </c>
      <c r="K543" t="str">
        <f>HYPERLINK("https://www.facebook.com/100001753921057")</f>
        <v>https://www.facebook.com/100001753921057</v>
      </c>
      <c r="M543" t="s">
        <v>30</v>
      </c>
      <c r="N543" t="s">
        <v>31</v>
      </c>
      <c r="O543" t="s">
        <v>1639</v>
      </c>
      <c r="P543" t="str">
        <f>HYPERLINK("https://www.facebook.com/192563384562012")</f>
        <v>https://www.facebook.com/192563384562012</v>
      </c>
      <c r="Q543">
        <v>7248</v>
      </c>
      <c r="R543" t="s">
        <v>32</v>
      </c>
      <c r="S543" t="s">
        <v>33</v>
      </c>
    </row>
    <row r="544" spans="1:22" ht="16">
      <c r="A544" t="s">
        <v>973</v>
      </c>
      <c r="B544" t="s">
        <v>1640</v>
      </c>
      <c r="C544" t="s">
        <v>24</v>
      </c>
      <c r="D544" t="s">
        <v>1641</v>
      </c>
      <c r="E544" t="s">
        <v>101</v>
      </c>
      <c r="F544" t="s">
        <v>46</v>
      </c>
      <c r="G544" t="str">
        <f>HYPERLINK("https://www.facebook.com/2347485735738763")</f>
        <v>https://www.facebook.com/2347485735738763</v>
      </c>
      <c r="H544" t="s">
        <v>28</v>
      </c>
      <c r="I544" t="s">
        <v>1642</v>
      </c>
      <c r="K544" t="str">
        <f>HYPERLINK("https://www.facebook.com/100014320778224")</f>
        <v>https://www.facebook.com/100014320778224</v>
      </c>
      <c r="M544" t="s">
        <v>40</v>
      </c>
      <c r="N544" t="s">
        <v>31</v>
      </c>
      <c r="O544" t="s">
        <v>1642</v>
      </c>
      <c r="P544" t="str">
        <f>HYPERLINK("https://www.facebook.com/100014320778224")</f>
        <v>https://www.facebook.com/100014320778224</v>
      </c>
      <c r="R544" t="s">
        <v>32</v>
      </c>
      <c r="S544" t="s">
        <v>33</v>
      </c>
      <c r="T544" t="s">
        <v>34</v>
      </c>
      <c r="U544" t="s">
        <v>542</v>
      </c>
      <c r="V544" t="s">
        <v>828</v>
      </c>
    </row>
    <row r="545" spans="1:22" ht="16">
      <c r="A545" t="s">
        <v>973</v>
      </c>
      <c r="B545" t="s">
        <v>1640</v>
      </c>
      <c r="C545" t="s">
        <v>80</v>
      </c>
      <c r="D545" t="s">
        <v>1643</v>
      </c>
      <c r="E545" t="s">
        <v>74</v>
      </c>
      <c r="F545" t="s">
        <v>3</v>
      </c>
      <c r="G545" t="str">
        <f>HYPERLINK("https://www.facebook.com/westukrnews/posts/pfbid05KpJzZfAmc7DG6HMNPojmy3FDtYQBjx33JCcksAdDUDGcWNSDnn66BSqDiowXeWol?comment_id=1294540359197746")</f>
        <v>https://www.facebook.com/westukrnews/posts/pfbid05KpJzZfAmc7DG6HMNPojmy3FDtYQBjx33JCcksAdDUDGcWNSDnn66BSqDiowXeWol?comment_id=1294540359197746</v>
      </c>
      <c r="H545" t="s">
        <v>28</v>
      </c>
      <c r="I545" t="s">
        <v>1644</v>
      </c>
      <c r="K545" t="str">
        <f>HYPERLINK("https://www.facebook.com/100089202946808")</f>
        <v>https://www.facebook.com/100089202946808</v>
      </c>
      <c r="M545" t="s">
        <v>30</v>
      </c>
      <c r="N545" t="s">
        <v>31</v>
      </c>
      <c r="O545" t="s">
        <v>813</v>
      </c>
      <c r="P545" t="str">
        <f>HYPERLINK("https://www.facebook.com/264234810584424")</f>
        <v>https://www.facebook.com/264234810584424</v>
      </c>
      <c r="Q545">
        <v>559985</v>
      </c>
      <c r="R545" t="s">
        <v>32</v>
      </c>
      <c r="S545" t="s">
        <v>33</v>
      </c>
      <c r="T545" t="s">
        <v>34</v>
      </c>
      <c r="U545" t="s">
        <v>487</v>
      </c>
      <c r="V545" t="s">
        <v>814</v>
      </c>
    </row>
    <row r="546" spans="1:22" ht="16">
      <c r="A546" t="s">
        <v>973</v>
      </c>
      <c r="B546" t="s">
        <v>1645</v>
      </c>
      <c r="C546" t="s">
        <v>24</v>
      </c>
      <c r="D546" t="s">
        <v>1584</v>
      </c>
      <c r="E546" t="s">
        <v>45</v>
      </c>
      <c r="F546" t="s">
        <v>102</v>
      </c>
      <c r="G546" t="str">
        <f>HYPERLINK("https://www.facebook.com/3103472486709385")</f>
        <v>https://www.facebook.com/3103472486709385</v>
      </c>
      <c r="H546" t="s">
        <v>28</v>
      </c>
      <c r="I546" t="s">
        <v>1539</v>
      </c>
      <c r="K546" t="str">
        <f>HYPERLINK("https://www.facebook.com/100011399926620")</f>
        <v>https://www.facebook.com/100011399926620</v>
      </c>
      <c r="M546" t="s">
        <v>30</v>
      </c>
      <c r="N546" t="s">
        <v>31</v>
      </c>
      <c r="O546" t="s">
        <v>1539</v>
      </c>
      <c r="P546" t="str">
        <f>HYPERLINK("https://www.facebook.com/100011399926620")</f>
        <v>https://www.facebook.com/100011399926620</v>
      </c>
      <c r="R546" t="s">
        <v>32</v>
      </c>
      <c r="S546" t="s">
        <v>33</v>
      </c>
      <c r="T546" t="s">
        <v>34</v>
      </c>
      <c r="U546" t="s">
        <v>899</v>
      </c>
      <c r="V546" t="s">
        <v>900</v>
      </c>
    </row>
    <row r="547" spans="1:22" ht="16">
      <c r="A547" t="s">
        <v>973</v>
      </c>
      <c r="B547" t="s">
        <v>1645</v>
      </c>
      <c r="C547" t="s">
        <v>72</v>
      </c>
      <c r="D547" t="s">
        <v>1646</v>
      </c>
      <c r="E547" t="s">
        <v>74</v>
      </c>
      <c r="F547" t="s">
        <v>3</v>
      </c>
      <c r="G547" t="str">
        <f>HYPERLINK("https://www.facebook.com/permalink.php?story_fbid=pfbid0oe6Um7pN276QoEDBwEx2FQ9wPdrmtpQaiGt2p6g9ZdVtZnKSNTt7QSoobVSCty7ol&amp;id=100011701954282&amp;comment_id=2350879672001340")</f>
        <v>https://www.facebook.com/permalink.php?story_fbid=pfbid0oe6Um7pN276QoEDBwEx2FQ9wPdrmtpQaiGt2p6g9ZdVtZnKSNTt7QSoobVSCty7ol&amp;id=100011701954282&amp;comment_id=2350879672001340</v>
      </c>
      <c r="H547" t="s">
        <v>28</v>
      </c>
      <c r="I547" t="s">
        <v>1539</v>
      </c>
      <c r="K547" t="str">
        <f>HYPERLINK("https://www.facebook.com/pfbid02d98zmpWsztgiaHs8XP2UFJ5qZWckPZL4FWF14kR3PtreBJnkFjmHFbCdvzqZDs6Xl")</f>
        <v>https://www.facebook.com/pfbid02d98zmpWsztgiaHs8XP2UFJ5qZWckPZL4FWF14kR3PtreBJnkFjmHFbCdvzqZDs6Xl</v>
      </c>
      <c r="M547" t="s">
        <v>30</v>
      </c>
      <c r="N547" t="s">
        <v>31</v>
      </c>
      <c r="O547" t="s">
        <v>914</v>
      </c>
      <c r="P547" t="str">
        <f>HYPERLINK("https://www.facebook.com/pfbid0312VF7RoNSQ1Azu25ZEGWbr8a71v5u6FmfqGthVccJVq4xkkvk1qrGhkJ2AZGeApRl")</f>
        <v>https://www.facebook.com/pfbid0312VF7RoNSQ1Azu25ZEGWbr8a71v5u6FmfqGthVccJVq4xkkvk1qrGhkJ2AZGeApRl</v>
      </c>
      <c r="R547" t="s">
        <v>32</v>
      </c>
      <c r="S547" t="s">
        <v>33</v>
      </c>
      <c r="T547" t="s">
        <v>34</v>
      </c>
      <c r="U547" t="s">
        <v>899</v>
      </c>
      <c r="V547" t="s">
        <v>900</v>
      </c>
    </row>
    <row r="548" spans="1:22" ht="16">
      <c r="A548" t="s">
        <v>973</v>
      </c>
      <c r="B548" t="s">
        <v>1647</v>
      </c>
      <c r="C548" t="s">
        <v>24</v>
      </c>
      <c r="D548" t="s">
        <v>44</v>
      </c>
      <c r="E548" t="s">
        <v>45</v>
      </c>
      <c r="F548" t="s">
        <v>46</v>
      </c>
      <c r="G548" t="str">
        <f>HYPERLINK("https://www.facebook.com/1820077942009195")</f>
        <v>https://www.facebook.com/1820077942009195</v>
      </c>
      <c r="H548" t="s">
        <v>28</v>
      </c>
      <c r="I548" t="s">
        <v>1648</v>
      </c>
      <c r="J548" t="s">
        <v>1649</v>
      </c>
      <c r="K548" t="str">
        <f>HYPERLINK("https://www.facebook.com/100009411019352")</f>
        <v>https://www.facebook.com/100009411019352</v>
      </c>
      <c r="M548" t="s">
        <v>40</v>
      </c>
      <c r="N548" t="s">
        <v>31</v>
      </c>
      <c r="O548" t="s">
        <v>1650</v>
      </c>
      <c r="P548" t="str">
        <f>HYPERLINK("https://www.facebook.com/159434254740247")</f>
        <v>https://www.facebook.com/159434254740247</v>
      </c>
      <c r="Q548">
        <v>542</v>
      </c>
      <c r="R548" t="s">
        <v>32</v>
      </c>
      <c r="S548" t="s">
        <v>33</v>
      </c>
      <c r="T548" t="s">
        <v>34</v>
      </c>
      <c r="U548" t="s">
        <v>478</v>
      </c>
      <c r="V548" t="s">
        <v>479</v>
      </c>
    </row>
    <row r="549" spans="1:22" ht="16">
      <c r="A549" t="s">
        <v>973</v>
      </c>
      <c r="B549" t="s">
        <v>1651</v>
      </c>
      <c r="C549" t="s">
        <v>80</v>
      </c>
      <c r="D549" t="s">
        <v>1652</v>
      </c>
      <c r="E549" t="s">
        <v>74</v>
      </c>
      <c r="F549" t="s">
        <v>3</v>
      </c>
      <c r="G549" t="str">
        <f>HYPERLINK("https://www.facebook.com/westukrnews/posts/pfbid05KpJzZfAmc7DG6HMNPojmy3FDtYQBjx33JCcksAdDUDGcWNSDnn66BSqDiowXeWol?comment_id=3880729612062492")</f>
        <v>https://www.facebook.com/westukrnews/posts/pfbid05KpJzZfAmc7DG6HMNPojmy3FDtYQBjx33JCcksAdDUDGcWNSDnn66BSqDiowXeWol?comment_id=3880729612062492</v>
      </c>
      <c r="H549" t="s">
        <v>28</v>
      </c>
      <c r="I549" t="s">
        <v>1653</v>
      </c>
      <c r="K549" t="str">
        <f>HYPERLINK("https://www.facebook.com/100009174834971")</f>
        <v>https://www.facebook.com/100009174834971</v>
      </c>
      <c r="M549" t="s">
        <v>40</v>
      </c>
      <c r="N549" t="s">
        <v>31</v>
      </c>
      <c r="O549" t="s">
        <v>813</v>
      </c>
      <c r="P549" t="str">
        <f>HYPERLINK("https://www.facebook.com/264234810584424")</f>
        <v>https://www.facebook.com/264234810584424</v>
      </c>
      <c r="Q549">
        <v>559985</v>
      </c>
      <c r="R549" t="s">
        <v>32</v>
      </c>
      <c r="S549" t="s">
        <v>85</v>
      </c>
      <c r="T549" t="s">
        <v>1032</v>
      </c>
      <c r="U549" t="s">
        <v>1654</v>
      </c>
      <c r="V549" t="s">
        <v>1654</v>
      </c>
    </row>
    <row r="550" spans="1:19" ht="16">
      <c r="A550" t="s">
        <v>973</v>
      </c>
      <c r="B550" t="s">
        <v>1655</v>
      </c>
      <c r="C550" t="s">
        <v>24</v>
      </c>
      <c r="D550" t="s">
        <v>254</v>
      </c>
      <c r="E550" t="s">
        <v>45</v>
      </c>
      <c r="F550" t="s">
        <v>46</v>
      </c>
      <c r="G550" t="str">
        <f>HYPERLINK("https://www.facebook.com/4383148208678247")</f>
        <v>https://www.facebook.com/4383148208678247</v>
      </c>
      <c r="H550" t="s">
        <v>28</v>
      </c>
      <c r="I550" t="s">
        <v>1656</v>
      </c>
      <c r="K550" t="str">
        <f>HYPERLINK("https://www.facebook.com/100009493320208")</f>
        <v>https://www.facebook.com/100009493320208</v>
      </c>
      <c r="M550" t="s">
        <v>30</v>
      </c>
      <c r="N550" t="s">
        <v>31</v>
      </c>
      <c r="O550" t="s">
        <v>1656</v>
      </c>
      <c r="P550" t="str">
        <f>HYPERLINK("https://www.facebook.com/100009493320208")</f>
        <v>https://www.facebook.com/100009493320208</v>
      </c>
      <c r="R550" t="s">
        <v>32</v>
      </c>
      <c r="S550" t="s">
        <v>33</v>
      </c>
    </row>
    <row r="551" spans="1:22" ht="16">
      <c r="A551" t="s">
        <v>973</v>
      </c>
      <c r="B551" t="s">
        <v>841</v>
      </c>
      <c r="C551" t="s">
        <v>24</v>
      </c>
      <c r="D551" t="s">
        <v>1657</v>
      </c>
      <c r="E551" t="s">
        <v>101</v>
      </c>
      <c r="F551" t="s">
        <v>46</v>
      </c>
      <c r="G551" t="str">
        <f>HYPERLINK("https://www.facebook.com/26388771830775250")</f>
        <v>https://www.facebook.com/26388771830775250</v>
      </c>
      <c r="H551" t="s">
        <v>28</v>
      </c>
      <c r="I551" t="s">
        <v>1658</v>
      </c>
      <c r="J551" t="s">
        <v>1659</v>
      </c>
      <c r="K551" t="str">
        <f>HYPERLINK("https://www.facebook.com/100002073777658")</f>
        <v>https://www.facebook.com/100002073777658</v>
      </c>
      <c r="L551">
        <v>209</v>
      </c>
      <c r="M551" t="s">
        <v>30</v>
      </c>
      <c r="N551" t="s">
        <v>31</v>
      </c>
      <c r="O551" t="s">
        <v>1658</v>
      </c>
      <c r="P551" t="str">
        <f>HYPERLINK("https://www.facebook.com/100002073777658")</f>
        <v>https://www.facebook.com/100002073777658</v>
      </c>
      <c r="Q551">
        <v>209</v>
      </c>
      <c r="R551" t="s">
        <v>32</v>
      </c>
      <c r="S551" t="s">
        <v>33</v>
      </c>
      <c r="T551" t="s">
        <v>34</v>
      </c>
      <c r="U551" t="s">
        <v>41</v>
      </c>
      <c r="V551" t="s">
        <v>42</v>
      </c>
    </row>
    <row r="552" spans="1:22" ht="16">
      <c r="A552" t="s">
        <v>973</v>
      </c>
      <c r="B552" t="s">
        <v>1660</v>
      </c>
      <c r="C552" t="s">
        <v>80</v>
      </c>
      <c r="D552" t="s">
        <v>1661</v>
      </c>
      <c r="E552" t="s">
        <v>74</v>
      </c>
      <c r="F552" t="s">
        <v>3</v>
      </c>
      <c r="G552" t="str">
        <f>HYPERLINK("https://www.facebook.com/leonid.moroz.997166/posts/pfbid0cFozKngy6U8hQMzxjH6y5ecbwuVBmWdEtcdkossS6mZ3dfb1gydqSR6UwRYYBMKTl?comment_id=2485559278568424")</f>
        <v>https://www.facebook.com/leonid.moroz.997166/posts/pfbid0cFozKngy6U8hQMzxjH6y5ecbwuVBmWdEtcdkossS6mZ3dfb1gydqSR6UwRYYBMKTl?comment_id=2485559278568424</v>
      </c>
      <c r="H552" t="s">
        <v>28</v>
      </c>
      <c r="I552" t="s">
        <v>1662</v>
      </c>
      <c r="K552" t="str">
        <f>HYPERLINK("https://www.facebook.com/pfbid0qUFHQsnCZ4H8HZkzTYuRKvgf1NPk4Q3w2pmcdXHoPS9w1JbVyLwBppnk9MkRSptrl")</f>
        <v>https://www.facebook.com/pfbid0qUFHQsnCZ4H8HZkzTYuRKvgf1NPk4Q3w2pmcdXHoPS9w1JbVyLwBppnk9MkRSptrl</v>
      </c>
      <c r="M552" t="s">
        <v>40</v>
      </c>
      <c r="N552" t="s">
        <v>31</v>
      </c>
      <c r="O552" t="s">
        <v>1663</v>
      </c>
      <c r="P552" t="str">
        <f>HYPERLINK("https://www.facebook.com/100023348167041")</f>
        <v>https://www.facebook.com/100023348167041</v>
      </c>
      <c r="R552" t="s">
        <v>32</v>
      </c>
      <c r="S552" t="s">
        <v>188</v>
      </c>
      <c r="T552" t="s">
        <v>34</v>
      </c>
      <c r="U552" t="s">
        <v>384</v>
      </c>
      <c r="V552" t="s">
        <v>500</v>
      </c>
    </row>
    <row r="553" spans="1:22" ht="16">
      <c r="A553" t="s">
        <v>973</v>
      </c>
      <c r="B553" t="s">
        <v>1664</v>
      </c>
      <c r="C553" t="s">
        <v>72</v>
      </c>
      <c r="D553" t="s">
        <v>1665</v>
      </c>
      <c r="E553" t="s">
        <v>74</v>
      </c>
      <c r="F553" t="s">
        <v>3</v>
      </c>
      <c r="G553" t="str">
        <f>HYPERLINK("https://www.facebook.com/permalink.php?story_fbid=pfbid0oe6Um7pN276QoEDBwEx2FQ9wPdrmtpQaiGt2p6g9ZdVtZnKSNTt7QSoobVSCty7ol&amp;id=100011701954282&amp;comment_id=1444642217191517")</f>
        <v>https://www.facebook.com/permalink.php?story_fbid=pfbid0oe6Um7pN276QoEDBwEx2FQ9wPdrmtpQaiGt2p6g9ZdVtZnKSNTt7QSoobVSCty7ol&amp;id=100011701954282&amp;comment_id=1444642217191517</v>
      </c>
      <c r="H553" t="s">
        <v>28</v>
      </c>
      <c r="I553" t="s">
        <v>1666</v>
      </c>
      <c r="K553" t="str">
        <f>HYPERLINK("https://www.facebook.com/100002843702536")</f>
        <v>https://www.facebook.com/100002843702536</v>
      </c>
      <c r="M553" t="s">
        <v>40</v>
      </c>
      <c r="N553" t="s">
        <v>31</v>
      </c>
      <c r="O553" t="s">
        <v>914</v>
      </c>
      <c r="P553" t="str">
        <f>HYPERLINK("https://www.facebook.com/pfbid0312VF7RoNSQ1Azu25ZEGWbr8a71v5u6FmfqGthVccJVq4xkkvk1qrGhkJ2AZGeApRl")</f>
        <v>https://www.facebook.com/pfbid0312VF7RoNSQ1Azu25ZEGWbr8a71v5u6FmfqGthVccJVq4xkkvk1qrGhkJ2AZGeApRl</v>
      </c>
      <c r="R553" t="s">
        <v>32</v>
      </c>
      <c r="S553" t="s">
        <v>33</v>
      </c>
      <c r="T553" t="s">
        <v>34</v>
      </c>
      <c r="U553" t="s">
        <v>899</v>
      </c>
      <c r="V553" t="s">
        <v>900</v>
      </c>
    </row>
    <row r="554" spans="1:20" ht="16">
      <c r="A554" t="s">
        <v>973</v>
      </c>
      <c r="B554" t="s">
        <v>1667</v>
      </c>
      <c r="C554" t="s">
        <v>768</v>
      </c>
      <c r="D554" t="s">
        <v>1668</v>
      </c>
      <c r="E554" t="s">
        <v>74</v>
      </c>
      <c r="F554" t="s">
        <v>3</v>
      </c>
      <c r="G554" t="str">
        <f>HYPERLINK("https://www.facebook.com/groups/450700568661648/posts/2526693181062366/?comment_id=2526901887708162")</f>
        <v>https://www.facebook.com/groups/450700568661648/posts/2526693181062366/?comment_id=2526901887708162</v>
      </c>
      <c r="H554" t="s">
        <v>28</v>
      </c>
      <c r="I554" t="s">
        <v>1669</v>
      </c>
      <c r="K554" t="str">
        <f>HYPERLINK("https://www.facebook.com/100017242836705")</f>
        <v>https://www.facebook.com/100017242836705</v>
      </c>
      <c r="L554">
        <v>0</v>
      </c>
      <c r="M554" t="s">
        <v>30</v>
      </c>
      <c r="N554" t="s">
        <v>31</v>
      </c>
      <c r="O554" t="s">
        <v>880</v>
      </c>
      <c r="P554" t="str">
        <f>HYPERLINK("https://www.facebook.com/450700568661648")</f>
        <v>https://www.facebook.com/450700568661648</v>
      </c>
      <c r="Q554">
        <v>78964</v>
      </c>
      <c r="R554" t="s">
        <v>32</v>
      </c>
      <c r="S554" t="s">
        <v>85</v>
      </c>
      <c r="T554" t="s">
        <v>34</v>
      </c>
    </row>
    <row r="555" spans="1:19" ht="16">
      <c r="A555" t="s">
        <v>973</v>
      </c>
      <c r="B555" t="s">
        <v>36</v>
      </c>
      <c r="C555" t="s">
        <v>24</v>
      </c>
      <c r="D555" t="s">
        <v>254</v>
      </c>
      <c r="E555" t="s">
        <v>45</v>
      </c>
      <c r="F555" t="s">
        <v>46</v>
      </c>
      <c r="G555" t="str">
        <f>HYPERLINK("https://www.facebook.com/2135152920610653")</f>
        <v>https://www.facebook.com/2135152920610653</v>
      </c>
      <c r="H555" t="s">
        <v>28</v>
      </c>
      <c r="I555" t="s">
        <v>1670</v>
      </c>
      <c r="K555" t="str">
        <f>HYPERLINK("https://www.facebook.com/100023478966975")</f>
        <v>https://www.facebook.com/100023478966975</v>
      </c>
      <c r="M555" t="s">
        <v>30</v>
      </c>
      <c r="N555" t="s">
        <v>31</v>
      </c>
      <c r="O555" t="s">
        <v>1670</v>
      </c>
      <c r="P555" t="str">
        <f>HYPERLINK("https://www.facebook.com/100023478966975")</f>
        <v>https://www.facebook.com/100023478966975</v>
      </c>
      <c r="R555" t="s">
        <v>32</v>
      </c>
      <c r="S555" t="s">
        <v>33</v>
      </c>
    </row>
    <row r="556" spans="1:20" ht="16">
      <c r="A556" t="s">
        <v>973</v>
      </c>
      <c r="B556" t="s">
        <v>36</v>
      </c>
      <c r="C556" t="s">
        <v>24</v>
      </c>
      <c r="D556" t="s">
        <v>49</v>
      </c>
      <c r="E556" t="s">
        <v>45</v>
      </c>
      <c r="F556" t="s">
        <v>46</v>
      </c>
      <c r="G556" t="str">
        <f>HYPERLINK("https://www.facebook.com/4476375352634020")</f>
        <v>https://www.facebook.com/4476375352634020</v>
      </c>
      <c r="H556" t="s">
        <v>28</v>
      </c>
      <c r="I556" t="s">
        <v>1671</v>
      </c>
      <c r="K556" t="str">
        <f>HYPERLINK("https://www.facebook.com/100000652184810")</f>
        <v>https://www.facebook.com/100000652184810</v>
      </c>
      <c r="M556" t="s">
        <v>30</v>
      </c>
      <c r="N556" t="s">
        <v>31</v>
      </c>
      <c r="O556" t="s">
        <v>1672</v>
      </c>
      <c r="P556" t="str">
        <f>HYPERLINK("https://www.facebook.com/2504233809848194")</f>
        <v>https://www.facebook.com/2504233809848194</v>
      </c>
      <c r="Q556">
        <v>17933</v>
      </c>
      <c r="R556" t="s">
        <v>32</v>
      </c>
      <c r="S556" t="s">
        <v>33</v>
      </c>
      <c r="T556" t="s">
        <v>34</v>
      </c>
    </row>
    <row r="557" spans="1:22" ht="16">
      <c r="A557" t="s">
        <v>973</v>
      </c>
      <c r="B557" t="s">
        <v>1673</v>
      </c>
      <c r="C557" t="s">
        <v>80</v>
      </c>
      <c r="D557" t="s">
        <v>1674</v>
      </c>
      <c r="E557" t="s">
        <v>74</v>
      </c>
      <c r="F557" t="s">
        <v>3</v>
      </c>
      <c r="G557" t="str">
        <f>HYPERLINK("https://www.facebook.com/westukrnews/posts/pfbid05KpJzZfAmc7DG6HMNPojmy3FDtYQBjx33JCcksAdDUDGcWNSDnn66BSqDiowXeWol?comment_id=1578538003415514")</f>
        <v>https://www.facebook.com/westukrnews/posts/pfbid05KpJzZfAmc7DG6HMNPojmy3FDtYQBjx33JCcksAdDUDGcWNSDnn66BSqDiowXeWol?comment_id=1578538003415514</v>
      </c>
      <c r="H557" t="s">
        <v>28</v>
      </c>
      <c r="I557" t="s">
        <v>1675</v>
      </c>
      <c r="K557" t="str">
        <f>HYPERLINK("https://www.facebook.com/100024101164725")</f>
        <v>https://www.facebook.com/100024101164725</v>
      </c>
      <c r="L557">
        <v>48</v>
      </c>
      <c r="M557" t="s">
        <v>30</v>
      </c>
      <c r="N557" t="s">
        <v>31</v>
      </c>
      <c r="O557" t="s">
        <v>813</v>
      </c>
      <c r="P557" t="str">
        <f>HYPERLINK("https://www.facebook.com/264234810584424")</f>
        <v>https://www.facebook.com/264234810584424</v>
      </c>
      <c r="Q557">
        <v>559985</v>
      </c>
      <c r="R557" t="s">
        <v>32</v>
      </c>
      <c r="S557" t="s">
        <v>33</v>
      </c>
      <c r="T557" t="s">
        <v>34</v>
      </c>
      <c r="U557" t="s">
        <v>487</v>
      </c>
      <c r="V557" t="s">
        <v>814</v>
      </c>
    </row>
    <row r="558" spans="1:19" ht="16">
      <c r="A558" t="s">
        <v>973</v>
      </c>
      <c r="B558" t="s">
        <v>1676</v>
      </c>
      <c r="C558" t="s">
        <v>24</v>
      </c>
      <c r="D558" t="s">
        <v>254</v>
      </c>
      <c r="E558" t="s">
        <v>45</v>
      </c>
      <c r="F558" t="s">
        <v>46</v>
      </c>
      <c r="G558" t="str">
        <f>HYPERLINK("https://www.facebook.com/4448396608758070")</f>
        <v>https://www.facebook.com/4448396608758070</v>
      </c>
      <c r="H558" t="s">
        <v>28</v>
      </c>
      <c r="I558" t="s">
        <v>1677</v>
      </c>
      <c r="K558" t="str">
        <f>HYPERLINK("https://www.facebook.com/100007633243707")</f>
        <v>https://www.facebook.com/100007633243707</v>
      </c>
      <c r="M558" t="s">
        <v>30</v>
      </c>
      <c r="N558" t="s">
        <v>31</v>
      </c>
      <c r="O558" t="s">
        <v>1677</v>
      </c>
      <c r="P558" t="str">
        <f>HYPERLINK("https://www.facebook.com/100007633243707")</f>
        <v>https://www.facebook.com/100007633243707</v>
      </c>
      <c r="R558" t="s">
        <v>32</v>
      </c>
      <c r="S558" t="s">
        <v>33</v>
      </c>
    </row>
    <row r="559" spans="1:22" ht="16">
      <c r="A559" t="s">
        <v>973</v>
      </c>
      <c r="B559" t="s">
        <v>1678</v>
      </c>
      <c r="C559" t="s">
        <v>72</v>
      </c>
      <c r="D559" t="s">
        <v>1679</v>
      </c>
      <c r="E559" t="s">
        <v>74</v>
      </c>
      <c r="F559" t="s">
        <v>3</v>
      </c>
      <c r="G559" t="str">
        <f>HYPERLINK("https://www.facebook.com/permalink.php?story_fbid=pfbid0oe6Um7pN276QoEDBwEx2FQ9wPdrmtpQaiGt2p6g9ZdVtZnKSNTt7QSoobVSCty7ol&amp;id=100011701954282&amp;comment_id=930184119462988")</f>
        <v>https://www.facebook.com/permalink.php?story_fbid=pfbid0oe6Um7pN276QoEDBwEx2FQ9wPdrmtpQaiGt2p6g9ZdVtZnKSNTt7QSoobVSCty7ol&amp;id=100011701954282&amp;comment_id=930184119462988</v>
      </c>
      <c r="H559" t="s">
        <v>28</v>
      </c>
      <c r="I559" t="s">
        <v>1680</v>
      </c>
      <c r="K559" t="str">
        <f>HYPERLINK("https://www.facebook.com/100008200864232")</f>
        <v>https://www.facebook.com/100008200864232</v>
      </c>
      <c r="M559" t="s">
        <v>40</v>
      </c>
      <c r="N559" t="s">
        <v>31</v>
      </c>
      <c r="O559" t="s">
        <v>914</v>
      </c>
      <c r="P559" t="str">
        <f>HYPERLINK("https://www.facebook.com/pfbid0312VF7RoNSQ1Azu25ZEGWbr8a71v5u6FmfqGthVccJVq4xkkvk1qrGhkJ2AZGeApRl")</f>
        <v>https://www.facebook.com/pfbid0312VF7RoNSQ1Azu25ZEGWbr8a71v5u6FmfqGthVccJVq4xkkvk1qrGhkJ2AZGeApRl</v>
      </c>
      <c r="R559" t="s">
        <v>32</v>
      </c>
      <c r="S559" t="s">
        <v>33</v>
      </c>
      <c r="T559" t="s">
        <v>34</v>
      </c>
      <c r="U559" t="s">
        <v>58</v>
      </c>
      <c r="V559" t="s">
        <v>58</v>
      </c>
    </row>
    <row r="560" spans="1:22" ht="16">
      <c r="A560" t="s">
        <v>973</v>
      </c>
      <c r="B560" t="s">
        <v>1678</v>
      </c>
      <c r="C560" t="s">
        <v>72</v>
      </c>
      <c r="D560" t="s">
        <v>1681</v>
      </c>
      <c r="E560" t="s">
        <v>74</v>
      </c>
      <c r="F560" t="s">
        <v>3</v>
      </c>
      <c r="G560" t="str">
        <f>HYPERLINK("https://www.facebook.com/permalink.php?story_fbid=pfbid0oe6Um7pN276QoEDBwEx2FQ9wPdrmtpQaiGt2p6g9ZdVtZnKSNTt7QSoobVSCty7ol&amp;id=100011701954282&amp;comment_id=1792326722155224")</f>
        <v>https://www.facebook.com/permalink.php?story_fbid=pfbid0oe6Um7pN276QoEDBwEx2FQ9wPdrmtpQaiGt2p6g9ZdVtZnKSNTt7QSoobVSCty7ol&amp;id=100011701954282&amp;comment_id=1792326722155224</v>
      </c>
      <c r="H560" t="s">
        <v>28</v>
      </c>
      <c r="I560" t="s">
        <v>1682</v>
      </c>
      <c r="J560" t="s">
        <v>1683</v>
      </c>
      <c r="K560" t="str">
        <f>HYPERLINK("https://www.facebook.com/100008047423911")</f>
        <v>https://www.facebook.com/100008047423911</v>
      </c>
      <c r="M560" t="s">
        <v>30</v>
      </c>
      <c r="N560" t="s">
        <v>31</v>
      </c>
      <c r="O560" t="s">
        <v>914</v>
      </c>
      <c r="P560" t="str">
        <f>HYPERLINK("https://www.facebook.com/pfbid0312VF7RoNSQ1Azu25ZEGWbr8a71v5u6FmfqGthVccJVq4xkkvk1qrGhkJ2AZGeApRl")</f>
        <v>https://www.facebook.com/pfbid0312VF7RoNSQ1Azu25ZEGWbr8a71v5u6FmfqGthVccJVq4xkkvk1qrGhkJ2AZGeApRl</v>
      </c>
      <c r="R560" t="s">
        <v>32</v>
      </c>
      <c r="S560" t="s">
        <v>188</v>
      </c>
      <c r="T560" t="s">
        <v>34</v>
      </c>
      <c r="U560" t="s">
        <v>1308</v>
      </c>
      <c r="V560" t="s">
        <v>1309</v>
      </c>
    </row>
    <row r="561" spans="1:22" ht="16">
      <c r="A561" t="s">
        <v>973</v>
      </c>
      <c r="B561" t="s">
        <v>1684</v>
      </c>
      <c r="C561" t="s">
        <v>24</v>
      </c>
      <c r="D561" t="s">
        <v>44</v>
      </c>
      <c r="E561" t="s">
        <v>45</v>
      </c>
      <c r="F561" t="s">
        <v>46</v>
      </c>
      <c r="G561" t="str">
        <f>HYPERLINK("https://www.facebook.com/2112455729542679")</f>
        <v>https://www.facebook.com/2112455729542679</v>
      </c>
      <c r="H561" t="s">
        <v>28</v>
      </c>
      <c r="I561" t="s">
        <v>1663</v>
      </c>
      <c r="K561" t="str">
        <f>HYPERLINK("https://www.facebook.com/100023348167041")</f>
        <v>https://www.facebook.com/100023348167041</v>
      </c>
      <c r="M561" t="s">
        <v>40</v>
      </c>
      <c r="N561" t="s">
        <v>31</v>
      </c>
      <c r="O561" t="s">
        <v>1663</v>
      </c>
      <c r="P561" t="str">
        <f>HYPERLINK("https://www.facebook.com/100023348167041")</f>
        <v>https://www.facebook.com/100023348167041</v>
      </c>
      <c r="R561" t="s">
        <v>32</v>
      </c>
      <c r="S561" t="s">
        <v>33</v>
      </c>
      <c r="T561" t="s">
        <v>34</v>
      </c>
      <c r="U561" t="s">
        <v>1685</v>
      </c>
      <c r="V561" t="s">
        <v>1686</v>
      </c>
    </row>
    <row r="562" spans="1:22" ht="16">
      <c r="A562" t="s">
        <v>973</v>
      </c>
      <c r="B562" t="s">
        <v>1684</v>
      </c>
      <c r="C562" t="s">
        <v>24</v>
      </c>
      <c r="D562" t="s">
        <v>49</v>
      </c>
      <c r="E562" t="s">
        <v>45</v>
      </c>
      <c r="F562" t="s">
        <v>46</v>
      </c>
      <c r="G562" t="str">
        <f>HYPERLINK("https://www.facebook.com/122114330103201158")</f>
        <v>https://www.facebook.com/122114330103201158</v>
      </c>
      <c r="H562" t="s">
        <v>28</v>
      </c>
      <c r="I562" t="s">
        <v>1498</v>
      </c>
      <c r="K562" t="str">
        <f>HYPERLINK("https://www.facebook.com/61586034743827")</f>
        <v>https://www.facebook.com/61586034743827</v>
      </c>
      <c r="M562" t="s">
        <v>30</v>
      </c>
      <c r="N562" t="s">
        <v>31</v>
      </c>
      <c r="O562" t="s">
        <v>1498</v>
      </c>
      <c r="P562" t="str">
        <f>HYPERLINK("https://www.facebook.com/61586034743827")</f>
        <v>https://www.facebook.com/61586034743827</v>
      </c>
      <c r="R562" t="s">
        <v>32</v>
      </c>
      <c r="S562" t="s">
        <v>33</v>
      </c>
      <c r="T562" t="s">
        <v>1499</v>
      </c>
      <c r="U562" t="s">
        <v>1500</v>
      </c>
      <c r="V562" t="s">
        <v>1501</v>
      </c>
    </row>
    <row r="563" spans="1:22" ht="16">
      <c r="A563" t="s">
        <v>973</v>
      </c>
      <c r="B563" t="s">
        <v>1684</v>
      </c>
      <c r="C563" t="s">
        <v>768</v>
      </c>
      <c r="D563" t="s">
        <v>1687</v>
      </c>
      <c r="E563" t="s">
        <v>74</v>
      </c>
      <c r="F563" t="s">
        <v>3</v>
      </c>
      <c r="G563" t="str">
        <f>HYPERLINK("https://www.facebook.com/permalink.php?story_fbid=pfbid0szG6DqrsnXjsMxAE2TRzSyQSFAtZtYFcgHfmnDRpXy1wejfFXLYfZMEiwsi7RmMjl&amp;id=100090843379637&amp;comment_id=1220687413379164")</f>
        <v>https://www.facebook.com/permalink.php?story_fbid=pfbid0szG6DqrsnXjsMxAE2TRzSyQSFAtZtYFcgHfmnDRpXy1wejfFXLYfZMEiwsi7RmMjl&amp;id=100090843379637&amp;comment_id=1220687413379164</v>
      </c>
      <c r="H563" t="s">
        <v>28</v>
      </c>
      <c r="I563" t="s">
        <v>1498</v>
      </c>
      <c r="K563" t="str">
        <f>HYPERLINK("https://www.facebook.com/61586034743827")</f>
        <v>https://www.facebook.com/61586034743827</v>
      </c>
      <c r="M563" t="s">
        <v>30</v>
      </c>
      <c r="N563" t="s">
        <v>31</v>
      </c>
      <c r="O563" t="s">
        <v>876</v>
      </c>
      <c r="P563" t="str">
        <f>HYPERLINK("https://www.facebook.com/100090843379637")</f>
        <v>https://www.facebook.com/100090843379637</v>
      </c>
      <c r="R563" t="s">
        <v>32</v>
      </c>
      <c r="S563" t="s">
        <v>33</v>
      </c>
      <c r="T563" t="s">
        <v>1499</v>
      </c>
      <c r="U563" t="s">
        <v>1500</v>
      </c>
      <c r="V563" t="s">
        <v>1501</v>
      </c>
    </row>
    <row r="564" spans="1:22" ht="16">
      <c r="A564" t="s">
        <v>973</v>
      </c>
      <c r="B564" t="s">
        <v>1688</v>
      </c>
      <c r="C564" t="s">
        <v>24</v>
      </c>
      <c r="D564" t="s">
        <v>49</v>
      </c>
      <c r="E564" t="s">
        <v>45</v>
      </c>
      <c r="F564" t="s">
        <v>46</v>
      </c>
      <c r="G564" t="str">
        <f>HYPERLINK("https://www.facebook.com/122114330001201158")</f>
        <v>https://www.facebook.com/122114330001201158</v>
      </c>
      <c r="H564" t="s">
        <v>28</v>
      </c>
      <c r="I564" t="s">
        <v>1498</v>
      </c>
      <c r="K564" t="str">
        <f>HYPERLINK("https://www.facebook.com/61586034743827")</f>
        <v>https://www.facebook.com/61586034743827</v>
      </c>
      <c r="M564" t="s">
        <v>30</v>
      </c>
      <c r="N564" t="s">
        <v>31</v>
      </c>
      <c r="O564" t="s">
        <v>1498</v>
      </c>
      <c r="P564" t="str">
        <f>HYPERLINK("https://www.facebook.com/61586034743827")</f>
        <v>https://www.facebook.com/61586034743827</v>
      </c>
      <c r="R564" t="s">
        <v>32</v>
      </c>
      <c r="S564" t="s">
        <v>33</v>
      </c>
      <c r="T564" t="s">
        <v>1499</v>
      </c>
      <c r="U564" t="s">
        <v>1500</v>
      </c>
      <c r="V564" t="s">
        <v>1501</v>
      </c>
    </row>
    <row r="565" spans="1:22" ht="16">
      <c r="A565" t="s">
        <v>973</v>
      </c>
      <c r="B565" t="s">
        <v>1689</v>
      </c>
      <c r="C565" t="s">
        <v>24</v>
      </c>
      <c r="D565" t="s">
        <v>1451</v>
      </c>
      <c r="E565" t="s">
        <v>101</v>
      </c>
      <c r="F565" t="s">
        <v>46</v>
      </c>
      <c r="G565" t="str">
        <f>HYPERLINK("https://www.facebook.com/2429614140887069")</f>
        <v>https://www.facebook.com/2429614140887069</v>
      </c>
      <c r="H565" t="s">
        <v>28</v>
      </c>
      <c r="I565" t="s">
        <v>1452</v>
      </c>
      <c r="J565" t="s">
        <v>1453</v>
      </c>
      <c r="K565" t="str">
        <f>HYPERLINK("https://www.facebook.com/100000502568147")</f>
        <v>https://www.facebook.com/100000502568147</v>
      </c>
      <c r="M565" t="s">
        <v>30</v>
      </c>
      <c r="N565" t="s">
        <v>31</v>
      </c>
      <c r="O565" t="s">
        <v>1551</v>
      </c>
      <c r="P565" t="str">
        <f>HYPERLINK("https://www.facebook.com/790973431417823")</f>
        <v>https://www.facebook.com/790973431417823</v>
      </c>
      <c r="Q565">
        <v>40</v>
      </c>
      <c r="R565" t="s">
        <v>32</v>
      </c>
      <c r="S565" t="s">
        <v>33</v>
      </c>
      <c r="T565" t="s">
        <v>34</v>
      </c>
      <c r="U565" t="s">
        <v>58</v>
      </c>
      <c r="V565" t="s">
        <v>58</v>
      </c>
    </row>
    <row r="566" spans="1:22" ht="16">
      <c r="A566" t="s">
        <v>973</v>
      </c>
      <c r="B566" t="s">
        <v>1690</v>
      </c>
      <c r="C566" t="s">
        <v>768</v>
      </c>
      <c r="D566" t="s">
        <v>1691</v>
      </c>
      <c r="E566" t="s">
        <v>74</v>
      </c>
      <c r="F566" t="s">
        <v>185</v>
      </c>
      <c r="G566" t="str">
        <f>HYPERLINK("https://www.facebook.com/toyelviv/posts/pfbid02HyVHmdRrHaKvpJCV4k8sSATEQmB44tvrgpepSrJQ66Qs74jVAzPQ6qaz5ZMHUoNBl?comment_id=4259245097658955")</f>
        <v>https://www.facebook.com/toyelviv/posts/pfbid02HyVHmdRrHaKvpJCV4k8sSATEQmB44tvrgpepSrJQ66Qs74jVAzPQ6qaz5ZMHUoNBl?comment_id=4259245097658955</v>
      </c>
      <c r="H566" t="s">
        <v>28</v>
      </c>
      <c r="I566" t="s">
        <v>725</v>
      </c>
      <c r="K566" t="str">
        <f>HYPERLINK("https://www.facebook.com/100054237720495")</f>
        <v>https://www.facebook.com/100054237720495</v>
      </c>
      <c r="M566" t="s">
        <v>30</v>
      </c>
      <c r="N566" t="s">
        <v>31</v>
      </c>
      <c r="O566" t="s">
        <v>1559</v>
      </c>
      <c r="P566" t="str">
        <f>HYPERLINK("https://www.facebook.com/320892981422193")</f>
        <v>https://www.facebook.com/320892981422193</v>
      </c>
      <c r="Q566">
        <v>293869</v>
      </c>
      <c r="R566" t="s">
        <v>32</v>
      </c>
      <c r="S566" t="s">
        <v>188</v>
      </c>
      <c r="T566" t="s">
        <v>34</v>
      </c>
      <c r="U566" t="s">
        <v>478</v>
      </c>
      <c r="V566" t="s">
        <v>479</v>
      </c>
    </row>
    <row r="567" spans="1:22" ht="16">
      <c r="A567" t="s">
        <v>973</v>
      </c>
      <c r="B567" t="s">
        <v>1690</v>
      </c>
      <c r="C567" t="s">
        <v>768</v>
      </c>
      <c r="D567" t="s">
        <v>1692</v>
      </c>
      <c r="E567" t="s">
        <v>74</v>
      </c>
      <c r="F567" t="s">
        <v>3</v>
      </c>
      <c r="G567" t="str">
        <f>HYPERLINK("https://www.facebook.com/toyelviv/posts/pfbid02HyVHmdRrHaKvpJCV4k8sSATEQmB44tvrgpepSrJQ66Qs74jVAzPQ6qaz5ZMHUoNBl?comment_id=793621577108227")</f>
        <v>https://www.facebook.com/toyelviv/posts/pfbid02HyVHmdRrHaKvpJCV4k8sSATEQmB44tvrgpepSrJQ66Qs74jVAzPQ6qaz5ZMHUoNBl?comment_id=793621577108227</v>
      </c>
      <c r="H567" t="s">
        <v>28</v>
      </c>
      <c r="I567" t="s">
        <v>725</v>
      </c>
      <c r="K567" t="str">
        <f>HYPERLINK("https://www.facebook.com/100054237720495")</f>
        <v>https://www.facebook.com/100054237720495</v>
      </c>
      <c r="M567" t="s">
        <v>30</v>
      </c>
      <c r="N567" t="s">
        <v>31</v>
      </c>
      <c r="O567" t="s">
        <v>1559</v>
      </c>
      <c r="P567" t="str">
        <f>HYPERLINK("https://www.facebook.com/320892981422193")</f>
        <v>https://www.facebook.com/320892981422193</v>
      </c>
      <c r="Q567">
        <v>293869</v>
      </c>
      <c r="R567" t="s">
        <v>32</v>
      </c>
      <c r="S567" t="s">
        <v>33</v>
      </c>
      <c r="T567" t="s">
        <v>34</v>
      </c>
      <c r="U567" t="s">
        <v>478</v>
      </c>
      <c r="V567" t="s">
        <v>479</v>
      </c>
    </row>
    <row r="568" spans="1:19" ht="16">
      <c r="A568" t="s">
        <v>973</v>
      </c>
      <c r="B568" t="s">
        <v>1693</v>
      </c>
      <c r="C568" t="s">
        <v>24</v>
      </c>
      <c r="D568" t="s">
        <v>254</v>
      </c>
      <c r="E568" t="s">
        <v>45</v>
      </c>
      <c r="F568" t="s">
        <v>46</v>
      </c>
      <c r="G568" t="str">
        <f>HYPERLINK("https://www.facebook.com/25730923449883421")</f>
        <v>https://www.facebook.com/25730923449883421</v>
      </c>
      <c r="H568" t="s">
        <v>28</v>
      </c>
      <c r="I568" t="s">
        <v>1694</v>
      </c>
      <c r="K568" t="str">
        <f>HYPERLINK("https://www.facebook.com/100001773558385")</f>
        <v>https://www.facebook.com/100001773558385</v>
      </c>
      <c r="M568" t="s">
        <v>40</v>
      </c>
      <c r="N568" t="s">
        <v>31</v>
      </c>
      <c r="O568" t="s">
        <v>1694</v>
      </c>
      <c r="P568" t="str">
        <f>HYPERLINK("https://www.facebook.com/100001773558385")</f>
        <v>https://www.facebook.com/100001773558385</v>
      </c>
      <c r="R568" t="s">
        <v>32</v>
      </c>
      <c r="S568" t="s">
        <v>33</v>
      </c>
    </row>
    <row r="569" spans="1:22" ht="16">
      <c r="A569" t="s">
        <v>973</v>
      </c>
      <c r="B569" t="s">
        <v>1695</v>
      </c>
      <c r="C569" t="s">
        <v>24</v>
      </c>
      <c r="D569" t="s">
        <v>49</v>
      </c>
      <c r="E569" t="s">
        <v>45</v>
      </c>
      <c r="F569" t="s">
        <v>46</v>
      </c>
      <c r="G569" t="str">
        <f>HYPERLINK("https://www.facebook.com/3100986176759968")</f>
        <v>https://www.facebook.com/3100986176759968</v>
      </c>
      <c r="H569" t="s">
        <v>28</v>
      </c>
      <c r="I569" t="s">
        <v>1696</v>
      </c>
      <c r="K569" t="str">
        <f>HYPERLINK("https://www.facebook.com/100005458476698")</f>
        <v>https://www.facebook.com/100005458476698</v>
      </c>
      <c r="M569" t="s">
        <v>40</v>
      </c>
      <c r="N569" t="s">
        <v>31</v>
      </c>
      <c r="O569" t="s">
        <v>1696</v>
      </c>
      <c r="P569" t="str">
        <f>HYPERLINK("https://www.facebook.com/100005458476698")</f>
        <v>https://www.facebook.com/100005458476698</v>
      </c>
      <c r="R569" t="s">
        <v>32</v>
      </c>
      <c r="S569" t="s">
        <v>33</v>
      </c>
      <c r="T569" t="s">
        <v>34</v>
      </c>
      <c r="U569" t="s">
        <v>309</v>
      </c>
      <c r="V569" t="s">
        <v>606</v>
      </c>
    </row>
    <row r="570" spans="1:19" ht="16">
      <c r="A570" t="s">
        <v>973</v>
      </c>
      <c r="B570" t="s">
        <v>1697</v>
      </c>
      <c r="C570" t="s">
        <v>24</v>
      </c>
      <c r="D570" t="s">
        <v>254</v>
      </c>
      <c r="E570" t="s">
        <v>45</v>
      </c>
      <c r="F570" t="s">
        <v>46</v>
      </c>
      <c r="G570" t="str">
        <f>HYPERLINK("https://www.facebook.com/2044727676088335")</f>
        <v>https://www.facebook.com/2044727676088335</v>
      </c>
      <c r="H570" t="s">
        <v>28</v>
      </c>
      <c r="I570" t="s">
        <v>1698</v>
      </c>
      <c r="K570" t="str">
        <f>HYPERLINK("https://www.facebook.com/100016533671168")</f>
        <v>https://www.facebook.com/100016533671168</v>
      </c>
      <c r="M570" t="s">
        <v>30</v>
      </c>
      <c r="N570" t="s">
        <v>31</v>
      </c>
      <c r="O570" t="s">
        <v>1698</v>
      </c>
      <c r="P570" t="str">
        <f>HYPERLINK("https://www.facebook.com/100016533671168")</f>
        <v>https://www.facebook.com/100016533671168</v>
      </c>
      <c r="R570" t="s">
        <v>32</v>
      </c>
      <c r="S570" t="s">
        <v>33</v>
      </c>
    </row>
    <row r="571" spans="1:22" ht="16">
      <c r="A571" t="s">
        <v>973</v>
      </c>
      <c r="B571" t="s">
        <v>849</v>
      </c>
      <c r="C571" t="s">
        <v>768</v>
      </c>
      <c r="D571" t="s">
        <v>1699</v>
      </c>
      <c r="E571" t="s">
        <v>74</v>
      </c>
      <c r="F571" t="s">
        <v>3</v>
      </c>
      <c r="G571" t="str">
        <f>HYPERLINK("https://www.facebook.com/toyelviv/posts/pfbid02HyVHmdRrHaKvpJCV4k8sSATEQmB44tvrgpepSrJQ66Qs74jVAzPQ6qaz5ZMHUoNBl?comment_id=1993101261585337")</f>
        <v>https://www.facebook.com/toyelviv/posts/pfbid02HyVHmdRrHaKvpJCV4k8sSATEQmB44tvrgpepSrJQ66Qs74jVAzPQ6qaz5ZMHUoNBl?comment_id=1993101261585337</v>
      </c>
      <c r="H571" t="s">
        <v>28</v>
      </c>
      <c r="I571" t="s">
        <v>1700</v>
      </c>
      <c r="K571" t="str">
        <f>HYPERLINK("https://www.facebook.com/100004158840378")</f>
        <v>https://www.facebook.com/100004158840378</v>
      </c>
      <c r="M571" t="s">
        <v>40</v>
      </c>
      <c r="N571" t="s">
        <v>31</v>
      </c>
      <c r="O571" t="s">
        <v>1559</v>
      </c>
      <c r="P571" t="str">
        <f>HYPERLINK("https://www.facebook.com/320892981422193")</f>
        <v>https://www.facebook.com/320892981422193</v>
      </c>
      <c r="Q571">
        <v>293869</v>
      </c>
      <c r="R571" t="s">
        <v>32</v>
      </c>
      <c r="S571" t="s">
        <v>85</v>
      </c>
      <c r="T571" t="s">
        <v>34</v>
      </c>
      <c r="U571" t="s">
        <v>58</v>
      </c>
      <c r="V571" t="s">
        <v>58</v>
      </c>
    </row>
    <row r="572" spans="1:20" ht="16">
      <c r="A572" t="s">
        <v>973</v>
      </c>
      <c r="B572" t="s">
        <v>849</v>
      </c>
      <c r="C572" t="s">
        <v>768</v>
      </c>
      <c r="D572" t="s">
        <v>1701</v>
      </c>
      <c r="E572" t="s">
        <v>74</v>
      </c>
      <c r="F572" t="s">
        <v>3</v>
      </c>
      <c r="G572" t="str">
        <f>HYPERLINK("https://www.facebook.com/toyelviv/posts/pfbid02HyVHmdRrHaKvpJCV4k8sSATEQmB44tvrgpepSrJQ66Qs74jVAzPQ6qaz5ZMHUoNBl?comment_id=2496652097416699")</f>
        <v>https://www.facebook.com/toyelviv/posts/pfbid02HyVHmdRrHaKvpJCV4k8sSATEQmB44tvrgpepSrJQ66Qs74jVAzPQ6qaz5ZMHUoNBl?comment_id=2496652097416699</v>
      </c>
      <c r="H572" t="s">
        <v>28</v>
      </c>
      <c r="I572" t="s">
        <v>1702</v>
      </c>
      <c r="K572" t="str">
        <f>HYPERLINK("https://www.facebook.com/100038766572745")</f>
        <v>https://www.facebook.com/100038766572745</v>
      </c>
      <c r="M572" t="s">
        <v>30</v>
      </c>
      <c r="N572" t="s">
        <v>31</v>
      </c>
      <c r="O572" t="s">
        <v>1559</v>
      </c>
      <c r="P572" t="str">
        <f>HYPERLINK("https://www.facebook.com/320892981422193")</f>
        <v>https://www.facebook.com/320892981422193</v>
      </c>
      <c r="Q572">
        <v>293869</v>
      </c>
      <c r="R572" t="s">
        <v>32</v>
      </c>
      <c r="S572" t="s">
        <v>33</v>
      </c>
      <c r="T572" t="s">
        <v>34</v>
      </c>
    </row>
    <row r="573" spans="1:22" ht="16">
      <c r="A573" t="s">
        <v>973</v>
      </c>
      <c r="B573" t="s">
        <v>1703</v>
      </c>
      <c r="C573" t="s">
        <v>80</v>
      </c>
      <c r="D573" t="s">
        <v>1704</v>
      </c>
      <c r="E573" t="s">
        <v>74</v>
      </c>
      <c r="F573" t="s">
        <v>3</v>
      </c>
      <c r="G573" t="str">
        <f>HYPERLINK("https://www.facebook.com/westukrnews/posts/pfbid05KpJzZfAmc7DG6HMNPojmy3FDtYQBjx33JCcksAdDUDGcWNSDnn66BSqDiowXeWol?comment_id=917615497482287")</f>
        <v>https://www.facebook.com/westukrnews/posts/pfbid05KpJzZfAmc7DG6HMNPojmy3FDtYQBjx33JCcksAdDUDGcWNSDnn66BSqDiowXeWol?comment_id=917615497482287</v>
      </c>
      <c r="H573" t="s">
        <v>28</v>
      </c>
      <c r="I573" t="s">
        <v>1705</v>
      </c>
      <c r="K573" t="str">
        <f>HYPERLINK("https://www.facebook.com/100013180087408")</f>
        <v>https://www.facebook.com/100013180087408</v>
      </c>
      <c r="M573" t="s">
        <v>40</v>
      </c>
      <c r="N573" t="s">
        <v>31</v>
      </c>
      <c r="O573" t="s">
        <v>813</v>
      </c>
      <c r="P573" t="str">
        <f>HYPERLINK("https://www.facebook.com/264234810584424")</f>
        <v>https://www.facebook.com/264234810584424</v>
      </c>
      <c r="Q573">
        <v>559985</v>
      </c>
      <c r="R573" t="s">
        <v>32</v>
      </c>
      <c r="S573" t="s">
        <v>33</v>
      </c>
      <c r="T573" t="s">
        <v>34</v>
      </c>
      <c r="U573" t="s">
        <v>487</v>
      </c>
      <c r="V573" t="s">
        <v>1706</v>
      </c>
    </row>
    <row r="574" spans="1:19" ht="16">
      <c r="A574" t="s">
        <v>973</v>
      </c>
      <c r="B574" t="s">
        <v>1707</v>
      </c>
      <c r="C574" t="s">
        <v>80</v>
      </c>
      <c r="D574" t="s">
        <v>1708</v>
      </c>
      <c r="E574" t="s">
        <v>74</v>
      </c>
      <c r="F574" t="s">
        <v>3</v>
      </c>
      <c r="G574" t="str">
        <f>HYPERLINK("https://www.facebook.com/westukrnews/posts/pfbid05KpJzZfAmc7DG6HMNPojmy3FDtYQBjx33JCcksAdDUDGcWNSDnn66BSqDiowXeWol?comment_id=952037717388577")</f>
        <v>https://www.facebook.com/westukrnews/posts/pfbid05KpJzZfAmc7DG6HMNPojmy3FDtYQBjx33JCcksAdDUDGcWNSDnn66BSqDiowXeWol?comment_id=952037717388577</v>
      </c>
      <c r="H574" t="s">
        <v>28</v>
      </c>
      <c r="I574" t="s">
        <v>1709</v>
      </c>
      <c r="K574" t="str">
        <f>HYPERLINK("https://www.facebook.com/100019260318047")</f>
        <v>https://www.facebook.com/100019260318047</v>
      </c>
      <c r="M574" t="s">
        <v>30</v>
      </c>
      <c r="N574" t="s">
        <v>31</v>
      </c>
      <c r="O574" t="s">
        <v>813</v>
      </c>
      <c r="P574" t="str">
        <f>HYPERLINK("https://www.facebook.com/264234810584424")</f>
        <v>https://www.facebook.com/264234810584424</v>
      </c>
      <c r="Q574">
        <v>559985</v>
      </c>
      <c r="R574" t="s">
        <v>32</v>
      </c>
      <c r="S574" t="s">
        <v>33</v>
      </c>
    </row>
    <row r="575" spans="1:22" ht="16">
      <c r="A575" t="s">
        <v>973</v>
      </c>
      <c r="B575" t="s">
        <v>1710</v>
      </c>
      <c r="C575" t="s">
        <v>80</v>
      </c>
      <c r="D575" t="s">
        <v>1711</v>
      </c>
      <c r="E575" t="s">
        <v>74</v>
      </c>
      <c r="F575" t="s">
        <v>3</v>
      </c>
      <c r="G575" t="str">
        <f>HYPERLINK("https://www.facebook.com/westukrnews/posts/pfbid05KpJzZfAmc7DG6HMNPojmy3FDtYQBjx33JCcksAdDUDGcWNSDnn66BSqDiowXeWol?comment_id=1804692976869225")</f>
        <v>https://www.facebook.com/westukrnews/posts/pfbid05KpJzZfAmc7DG6HMNPojmy3FDtYQBjx33JCcksAdDUDGcWNSDnn66BSqDiowXeWol?comment_id=1804692976869225</v>
      </c>
      <c r="H575" t="s">
        <v>28</v>
      </c>
      <c r="I575" t="s">
        <v>1712</v>
      </c>
      <c r="K575" t="str">
        <f>HYPERLINK("https://www.facebook.com/100018429851945")</f>
        <v>https://www.facebook.com/100018429851945</v>
      </c>
      <c r="M575" t="s">
        <v>30</v>
      </c>
      <c r="N575" t="s">
        <v>31</v>
      </c>
      <c r="O575" t="s">
        <v>813</v>
      </c>
      <c r="P575" t="str">
        <f>HYPERLINK("https://www.facebook.com/264234810584424")</f>
        <v>https://www.facebook.com/264234810584424</v>
      </c>
      <c r="Q575">
        <v>559985</v>
      </c>
      <c r="R575" t="s">
        <v>32</v>
      </c>
      <c r="S575" t="s">
        <v>33</v>
      </c>
      <c r="T575" t="s">
        <v>34</v>
      </c>
      <c r="U575" t="s">
        <v>1308</v>
      </c>
      <c r="V575" t="s">
        <v>1309</v>
      </c>
    </row>
    <row r="576" spans="1:22" ht="16">
      <c r="A576" t="s">
        <v>973</v>
      </c>
      <c r="B576" t="s">
        <v>1713</v>
      </c>
      <c r="C576" t="s">
        <v>72</v>
      </c>
      <c r="D576" t="s">
        <v>1714</v>
      </c>
      <c r="E576" t="s">
        <v>74</v>
      </c>
      <c r="F576" t="s">
        <v>3</v>
      </c>
      <c r="G576" t="str">
        <f>HYPERLINK("https://www.facebook.com/permalink.php?story_fbid=pfbid0oe6Um7pN276QoEDBwEx2FQ9wPdrmtpQaiGt2p6g9ZdVtZnKSNTt7QSoobVSCty7ol&amp;id=100011701954282&amp;comment_id=1081403514161027")</f>
        <v>https://www.facebook.com/permalink.php?story_fbid=pfbid0oe6Um7pN276QoEDBwEx2FQ9wPdrmtpQaiGt2p6g9ZdVtZnKSNTt7QSoobVSCty7ol&amp;id=100011701954282&amp;comment_id=1081403514161027</v>
      </c>
      <c r="H576" t="s">
        <v>28</v>
      </c>
      <c r="I576" t="s">
        <v>1715</v>
      </c>
      <c r="K576" t="str">
        <f>HYPERLINK("https://www.facebook.com/pfbid0uqBHRVPLVxtDDxuNE9MNHij58USZnkyGYdYNqizvyCTEtLrZi3jVaVjK7DSHNxBbl")</f>
        <v>https://www.facebook.com/pfbid0uqBHRVPLVxtDDxuNE9MNHij58USZnkyGYdYNqizvyCTEtLrZi3jVaVjK7DSHNxBbl</v>
      </c>
      <c r="M576" t="s">
        <v>40</v>
      </c>
      <c r="N576" t="s">
        <v>31</v>
      </c>
      <c r="O576" t="s">
        <v>914</v>
      </c>
      <c r="P576" t="str">
        <f>HYPERLINK("https://www.facebook.com/pfbid0312VF7RoNSQ1Azu25ZEGWbr8a71v5u6FmfqGthVccJVq4xkkvk1qrGhkJ2AZGeApRl")</f>
        <v>https://www.facebook.com/pfbid0312VF7RoNSQ1Azu25ZEGWbr8a71v5u6FmfqGthVccJVq4xkkvk1qrGhkJ2AZGeApRl</v>
      </c>
      <c r="R576" t="s">
        <v>32</v>
      </c>
      <c r="S576" t="s">
        <v>33</v>
      </c>
      <c r="T576" t="s">
        <v>34</v>
      </c>
      <c r="U576" t="s">
        <v>542</v>
      </c>
      <c r="V576" t="s">
        <v>1716</v>
      </c>
    </row>
    <row r="577" spans="1:19" ht="16">
      <c r="A577" t="s">
        <v>973</v>
      </c>
      <c r="B577" t="s">
        <v>1717</v>
      </c>
      <c r="C577" t="s">
        <v>24</v>
      </c>
      <c r="D577" t="s">
        <v>1718</v>
      </c>
      <c r="E577" t="s">
        <v>26</v>
      </c>
      <c r="F577" t="s">
        <v>342</v>
      </c>
      <c r="G577" t="str">
        <f>HYPERLINK("https://telegram.me/VerkhovynaTime/55801")</f>
        <v>https://telegram.me/VerkhovynaTime/55801</v>
      </c>
      <c r="H577" t="s">
        <v>28</v>
      </c>
      <c r="I577" t="s">
        <v>1719</v>
      </c>
      <c r="J577" t="s">
        <v>1720</v>
      </c>
      <c r="K577" t="str">
        <f>HYPERLINK("https://telegram.me/verkhovynatime")</f>
        <v>https://telegram.me/verkhovynatime</v>
      </c>
      <c r="L577">
        <v>64</v>
      </c>
      <c r="M577" t="s">
        <v>345</v>
      </c>
      <c r="N577" t="s">
        <v>346</v>
      </c>
      <c r="O577" t="s">
        <v>1719</v>
      </c>
      <c r="P577" t="str">
        <f>HYPERLINK("https://telegram.me/verkhovynatime")</f>
        <v>https://telegram.me/verkhovynatime</v>
      </c>
      <c r="Q577">
        <v>64</v>
      </c>
      <c r="R577" t="s">
        <v>347</v>
      </c>
      <c r="S577" t="s">
        <v>33</v>
      </c>
    </row>
    <row r="578" spans="1:19" ht="16">
      <c r="A578" t="s">
        <v>973</v>
      </c>
      <c r="B578" t="s">
        <v>1721</v>
      </c>
      <c r="C578" t="s">
        <v>24</v>
      </c>
      <c r="D578" t="s">
        <v>238</v>
      </c>
      <c r="E578" t="s">
        <v>45</v>
      </c>
      <c r="F578" t="s">
        <v>3</v>
      </c>
      <c r="G578" t="str">
        <f>HYPERLINK("https://www.facebook.com/1576741816896099")</f>
        <v>https://www.facebook.com/1576741816896099</v>
      </c>
      <c r="H578" t="s">
        <v>28</v>
      </c>
      <c r="I578" t="s">
        <v>1722</v>
      </c>
      <c r="K578" t="str">
        <f>HYPERLINK("https://www.facebook.com/100036808867896")</f>
        <v>https://www.facebook.com/100036808867896</v>
      </c>
      <c r="L578">
        <v>42</v>
      </c>
      <c r="M578" t="s">
        <v>40</v>
      </c>
      <c r="N578" t="s">
        <v>31</v>
      </c>
      <c r="O578" t="s">
        <v>1722</v>
      </c>
      <c r="P578" t="str">
        <f>HYPERLINK("https://www.facebook.com/100036808867896")</f>
        <v>https://www.facebook.com/100036808867896</v>
      </c>
      <c r="Q578">
        <v>42</v>
      </c>
      <c r="R578" t="s">
        <v>32</v>
      </c>
      <c r="S578" t="s">
        <v>33</v>
      </c>
    </row>
    <row r="579" spans="1:20" ht="16">
      <c r="A579" t="s">
        <v>973</v>
      </c>
      <c r="B579" t="s">
        <v>1723</v>
      </c>
      <c r="C579" t="s">
        <v>768</v>
      </c>
      <c r="D579" t="s">
        <v>1724</v>
      </c>
      <c r="E579" t="s">
        <v>74</v>
      </c>
      <c r="F579" t="s">
        <v>3</v>
      </c>
      <c r="G579" t="str">
        <f>HYPERLINK("https://www.facebook.com/groups/450700568661648/posts/2526693181062366/?comment_id=2526878891043795")</f>
        <v>https://www.facebook.com/groups/450700568661648/posts/2526693181062366/?comment_id=2526878891043795</v>
      </c>
      <c r="H579" t="s">
        <v>28</v>
      </c>
      <c r="I579" t="s">
        <v>1725</v>
      </c>
      <c r="K579" t="str">
        <f>HYPERLINK("https://www.facebook.com/100046726594185")</f>
        <v>https://www.facebook.com/100046726594185</v>
      </c>
      <c r="M579" t="s">
        <v>40</v>
      </c>
      <c r="N579" t="s">
        <v>31</v>
      </c>
      <c r="O579" t="s">
        <v>880</v>
      </c>
      <c r="P579" t="str">
        <f>HYPERLINK("https://www.facebook.com/450700568661648")</f>
        <v>https://www.facebook.com/450700568661648</v>
      </c>
      <c r="Q579">
        <v>78964</v>
      </c>
      <c r="R579" t="s">
        <v>32</v>
      </c>
      <c r="S579" t="s">
        <v>85</v>
      </c>
      <c r="T579" t="s">
        <v>34</v>
      </c>
    </row>
    <row r="580" spans="1:22" ht="16">
      <c r="A580" t="s">
        <v>973</v>
      </c>
      <c r="B580" t="s">
        <v>1726</v>
      </c>
      <c r="C580" t="s">
        <v>768</v>
      </c>
      <c r="D580" t="s">
        <v>1727</v>
      </c>
      <c r="E580" t="s">
        <v>74</v>
      </c>
      <c r="F580" t="s">
        <v>3</v>
      </c>
      <c r="G580" t="str">
        <f>HYPERLINK("https://www.facebook.com/toyelviv/posts/pfbid02HyVHmdRrHaKvpJCV4k8sSATEQmB44tvrgpepSrJQ66Qs74jVAzPQ6qaz5ZMHUoNBl?comment_id=1545604626536684")</f>
        <v>https://www.facebook.com/toyelviv/posts/pfbid02HyVHmdRrHaKvpJCV4k8sSATEQmB44tvrgpepSrJQ66Qs74jVAzPQ6qaz5ZMHUoNBl?comment_id=1545604626536684</v>
      </c>
      <c r="H580" t="s">
        <v>28</v>
      </c>
      <c r="I580" t="s">
        <v>1728</v>
      </c>
      <c r="K580" t="str">
        <f>HYPERLINK("https://www.facebook.com/100022059893424")</f>
        <v>https://www.facebook.com/100022059893424</v>
      </c>
      <c r="M580" t="s">
        <v>30</v>
      </c>
      <c r="N580" t="s">
        <v>31</v>
      </c>
      <c r="O580" t="s">
        <v>1559</v>
      </c>
      <c r="P580" t="str">
        <f>HYPERLINK("https://www.facebook.com/320892981422193")</f>
        <v>https://www.facebook.com/320892981422193</v>
      </c>
      <c r="Q580">
        <v>293869</v>
      </c>
      <c r="R580" t="s">
        <v>32</v>
      </c>
      <c r="S580" t="s">
        <v>85</v>
      </c>
      <c r="T580" t="s">
        <v>34</v>
      </c>
      <c r="U580" t="s">
        <v>41</v>
      </c>
      <c r="V580" t="s">
        <v>1729</v>
      </c>
    </row>
    <row r="581" spans="1:22" ht="16">
      <c r="A581" t="s">
        <v>973</v>
      </c>
      <c r="B581" t="s">
        <v>1726</v>
      </c>
      <c r="C581" t="s">
        <v>768</v>
      </c>
      <c r="D581" t="s">
        <v>1730</v>
      </c>
      <c r="E581" t="s">
        <v>74</v>
      </c>
      <c r="F581" t="s">
        <v>3</v>
      </c>
      <c r="G581" t="str">
        <f>HYPERLINK("https://www.facebook.com/toyelviv/posts/pfbid02HyVHmdRrHaKvpJCV4k8sSATEQmB44tvrgpepSrJQ66Qs74jVAzPQ6qaz5ZMHUoNBl?comment_id=945169861319508")</f>
        <v>https://www.facebook.com/toyelviv/posts/pfbid02HyVHmdRrHaKvpJCV4k8sSATEQmB44tvrgpepSrJQ66Qs74jVAzPQ6qaz5ZMHUoNBl?comment_id=945169861319508</v>
      </c>
      <c r="H581" t="s">
        <v>28</v>
      </c>
      <c r="I581" t="s">
        <v>1731</v>
      </c>
      <c r="K581" t="str">
        <f>HYPERLINK("https://www.facebook.com/100019593504205")</f>
        <v>https://www.facebook.com/100019593504205</v>
      </c>
      <c r="M581" t="s">
        <v>30</v>
      </c>
      <c r="N581" t="s">
        <v>31</v>
      </c>
      <c r="O581" t="s">
        <v>1559</v>
      </c>
      <c r="P581" t="str">
        <f>HYPERLINK("https://www.facebook.com/320892981422193")</f>
        <v>https://www.facebook.com/320892981422193</v>
      </c>
      <c r="Q581">
        <v>293869</v>
      </c>
      <c r="R581" t="s">
        <v>32</v>
      </c>
      <c r="S581" t="s">
        <v>33</v>
      </c>
      <c r="T581" t="s">
        <v>240</v>
      </c>
      <c r="U581" t="s">
        <v>1490</v>
      </c>
      <c r="V581" t="s">
        <v>1491</v>
      </c>
    </row>
    <row r="582" spans="1:22" ht="16">
      <c r="A582" t="s">
        <v>973</v>
      </c>
      <c r="B582" t="s">
        <v>1732</v>
      </c>
      <c r="C582" t="s">
        <v>768</v>
      </c>
      <c r="D582" t="s">
        <v>1733</v>
      </c>
      <c r="E582" t="s">
        <v>74</v>
      </c>
      <c r="F582" t="s">
        <v>3</v>
      </c>
      <c r="G582" t="str">
        <f>HYPERLINK("https://www.facebook.com/pr0ternopil/posts/pfbid02pTpTaTjiHaMSxHoUZxAKRGW9apE2tT4X8xS1gggT8HBnBJe7mzfmpbrZyKLhVpsTl?comment_id=1235596711490448")</f>
        <v>https://www.facebook.com/pr0ternopil/posts/pfbid02pTpTaTjiHaMSxHoUZxAKRGW9apE2tT4X8xS1gggT8HBnBJe7mzfmpbrZyKLhVpsTl?comment_id=1235596711490448</v>
      </c>
      <c r="H582" t="s">
        <v>28</v>
      </c>
      <c r="I582" t="s">
        <v>1734</v>
      </c>
      <c r="K582" t="str">
        <f>HYPERLINK("https://www.facebook.com/100045938140290")</f>
        <v>https://www.facebook.com/100045938140290</v>
      </c>
      <c r="M582" t="s">
        <v>30</v>
      </c>
      <c r="N582" t="s">
        <v>31</v>
      </c>
      <c r="O582" t="s">
        <v>1735</v>
      </c>
      <c r="P582" t="str">
        <f>HYPERLINK("https://www.facebook.com/2172498003027664")</f>
        <v>https://www.facebook.com/2172498003027664</v>
      </c>
      <c r="Q582">
        <v>34331</v>
      </c>
      <c r="R582" t="s">
        <v>32</v>
      </c>
      <c r="S582" t="s">
        <v>33</v>
      </c>
      <c r="T582" t="s">
        <v>240</v>
      </c>
      <c r="U582" t="s">
        <v>366</v>
      </c>
      <c r="V582" t="s">
        <v>1736</v>
      </c>
    </row>
    <row r="583" spans="1:22" ht="16">
      <c r="A583" t="s">
        <v>973</v>
      </c>
      <c r="B583" t="s">
        <v>1732</v>
      </c>
      <c r="C583" t="s">
        <v>24</v>
      </c>
      <c r="D583" t="s">
        <v>1584</v>
      </c>
      <c r="E583" t="s">
        <v>26</v>
      </c>
      <c r="F583" t="s">
        <v>102</v>
      </c>
      <c r="G583" t="str">
        <f>HYPERLINK("https://www.facebook.com/2600965336970173")</f>
        <v>https://www.facebook.com/2600965336970173</v>
      </c>
      <c r="H583" t="s">
        <v>28</v>
      </c>
      <c r="I583" t="s">
        <v>914</v>
      </c>
      <c r="K583" t="str">
        <f>HYPERLINK("https://www.facebook.com/100011701954282")</f>
        <v>https://www.facebook.com/100011701954282</v>
      </c>
      <c r="M583" t="s">
        <v>30</v>
      </c>
      <c r="N583" t="s">
        <v>31</v>
      </c>
      <c r="O583" t="s">
        <v>914</v>
      </c>
      <c r="P583" t="str">
        <f>HYPERLINK("https://www.facebook.com/100011701954282")</f>
        <v>https://www.facebook.com/100011701954282</v>
      </c>
      <c r="R583" t="s">
        <v>32</v>
      </c>
      <c r="S583" t="s">
        <v>33</v>
      </c>
      <c r="T583" t="s">
        <v>34</v>
      </c>
      <c r="U583" t="s">
        <v>899</v>
      </c>
      <c r="V583" t="s">
        <v>900</v>
      </c>
    </row>
    <row r="584" spans="1:22" ht="16">
      <c r="A584" t="s">
        <v>973</v>
      </c>
      <c r="B584" t="s">
        <v>1737</v>
      </c>
      <c r="C584" t="s">
        <v>24</v>
      </c>
      <c r="D584" t="s">
        <v>254</v>
      </c>
      <c r="E584" t="s">
        <v>45</v>
      </c>
      <c r="F584" t="s">
        <v>46</v>
      </c>
      <c r="G584" t="str">
        <f>HYPERLINK("https://www.facebook.com/2002517876971233")</f>
        <v>https://www.facebook.com/2002517876971233</v>
      </c>
      <c r="H584" t="s">
        <v>28</v>
      </c>
      <c r="I584" t="s">
        <v>1738</v>
      </c>
      <c r="K584" t="str">
        <f>HYPERLINK("https://www.facebook.com/100016391202407")</f>
        <v>https://www.facebook.com/100016391202407</v>
      </c>
      <c r="M584" t="s">
        <v>40</v>
      </c>
      <c r="N584" t="s">
        <v>31</v>
      </c>
      <c r="O584" t="s">
        <v>1738</v>
      </c>
      <c r="P584" t="str">
        <f>HYPERLINK("https://www.facebook.com/100016391202407")</f>
        <v>https://www.facebook.com/100016391202407</v>
      </c>
      <c r="R584" t="s">
        <v>32</v>
      </c>
      <c r="S584" t="s">
        <v>33</v>
      </c>
      <c r="T584" t="s">
        <v>34</v>
      </c>
      <c r="U584" t="s">
        <v>58</v>
      </c>
      <c r="V584" t="s">
        <v>58</v>
      </c>
    </row>
    <row r="585" spans="1:20" ht="16">
      <c r="A585" t="s">
        <v>973</v>
      </c>
      <c r="B585" t="s">
        <v>852</v>
      </c>
      <c r="C585" t="s">
        <v>768</v>
      </c>
      <c r="D585" t="s">
        <v>1739</v>
      </c>
      <c r="E585" t="s">
        <v>74</v>
      </c>
      <c r="F585" t="s">
        <v>3</v>
      </c>
      <c r="G585" t="str">
        <f>HYPERLINK("https://www.facebook.com/toyelviv/posts/pfbid02HyVHmdRrHaKvpJCV4k8sSATEQmB44tvrgpepSrJQ66Qs74jVAzPQ6qaz5ZMHUoNBl?comment_id=2543415652722661")</f>
        <v>https://www.facebook.com/toyelviv/posts/pfbid02HyVHmdRrHaKvpJCV4k8sSATEQmB44tvrgpepSrJQ66Qs74jVAzPQ6qaz5ZMHUoNBl?comment_id=2543415652722661</v>
      </c>
      <c r="H585" t="s">
        <v>28</v>
      </c>
      <c r="I585" t="s">
        <v>1740</v>
      </c>
      <c r="K585" t="str">
        <f>HYPERLINK("https://www.facebook.com/100056944521570")</f>
        <v>https://www.facebook.com/100056944521570</v>
      </c>
      <c r="M585" t="s">
        <v>30</v>
      </c>
      <c r="N585" t="s">
        <v>31</v>
      </c>
      <c r="O585" t="s">
        <v>1559</v>
      </c>
      <c r="P585" t="str">
        <f>HYPERLINK("https://www.facebook.com/320892981422193")</f>
        <v>https://www.facebook.com/320892981422193</v>
      </c>
      <c r="Q585">
        <v>293869</v>
      </c>
      <c r="R585" t="s">
        <v>32</v>
      </c>
      <c r="S585" t="s">
        <v>33</v>
      </c>
      <c r="T585" t="s">
        <v>34</v>
      </c>
    </row>
    <row r="586" spans="1:22" ht="16">
      <c r="A586" t="s">
        <v>973</v>
      </c>
      <c r="B586" t="s">
        <v>852</v>
      </c>
      <c r="C586" t="s">
        <v>768</v>
      </c>
      <c r="D586" t="s">
        <v>1741</v>
      </c>
      <c r="E586" t="s">
        <v>74</v>
      </c>
      <c r="F586" t="s">
        <v>3</v>
      </c>
      <c r="G586" t="str">
        <f>HYPERLINK("https://www.facebook.com/toyelviv/posts/pfbid02HyVHmdRrHaKvpJCV4k8sSATEQmB44tvrgpepSrJQ66Qs74jVAzPQ6qaz5ZMHUoNBl?comment_id=939322655299540")</f>
        <v>https://www.facebook.com/toyelviv/posts/pfbid02HyVHmdRrHaKvpJCV4k8sSATEQmB44tvrgpepSrJQ66Qs74jVAzPQ6qaz5ZMHUoNBl?comment_id=939322655299540</v>
      </c>
      <c r="H586" t="s">
        <v>28</v>
      </c>
      <c r="I586" t="s">
        <v>1742</v>
      </c>
      <c r="K586" t="str">
        <f>HYPERLINK("https://www.facebook.com/100008537597520")</f>
        <v>https://www.facebook.com/100008537597520</v>
      </c>
      <c r="M586" t="s">
        <v>30</v>
      </c>
      <c r="N586" t="s">
        <v>31</v>
      </c>
      <c r="O586" t="s">
        <v>1559</v>
      </c>
      <c r="P586" t="str">
        <f>HYPERLINK("https://www.facebook.com/320892981422193")</f>
        <v>https://www.facebook.com/320892981422193</v>
      </c>
      <c r="Q586">
        <v>293869</v>
      </c>
      <c r="R586" t="s">
        <v>32</v>
      </c>
      <c r="S586" t="s">
        <v>33</v>
      </c>
      <c r="T586" t="s">
        <v>240</v>
      </c>
      <c r="U586" t="s">
        <v>1743</v>
      </c>
      <c r="V586" t="s">
        <v>1744</v>
      </c>
    </row>
    <row r="587" spans="1:21" ht="16">
      <c r="A587" t="s">
        <v>973</v>
      </c>
      <c r="B587" t="s">
        <v>1745</v>
      </c>
      <c r="C587" t="s">
        <v>768</v>
      </c>
      <c r="D587" t="s">
        <v>1746</v>
      </c>
      <c r="E587" t="s">
        <v>74</v>
      </c>
      <c r="F587" t="s">
        <v>3</v>
      </c>
      <c r="G587" t="str">
        <f>HYPERLINK("https://www.facebook.com/groups/450700568661648/posts/2526693181062366/?comment_id=2526875231044161")</f>
        <v>https://www.facebook.com/groups/450700568661648/posts/2526693181062366/?comment_id=2526875231044161</v>
      </c>
      <c r="H587" t="s">
        <v>28</v>
      </c>
      <c r="I587" t="s">
        <v>1747</v>
      </c>
      <c r="K587" t="str">
        <f>HYPERLINK("https://www.facebook.com/100033064205169")</f>
        <v>https://www.facebook.com/100033064205169</v>
      </c>
      <c r="M587" t="s">
        <v>40</v>
      </c>
      <c r="N587" t="s">
        <v>31</v>
      </c>
      <c r="O587" t="s">
        <v>880</v>
      </c>
      <c r="P587" t="str">
        <f>HYPERLINK("https://www.facebook.com/450700568661648")</f>
        <v>https://www.facebook.com/450700568661648</v>
      </c>
      <c r="Q587">
        <v>78964</v>
      </c>
      <c r="R587" t="s">
        <v>32</v>
      </c>
      <c r="S587" t="s">
        <v>85</v>
      </c>
      <c r="T587" t="s">
        <v>34</v>
      </c>
      <c r="U587" t="s">
        <v>309</v>
      </c>
    </row>
    <row r="588" spans="1:22" ht="16">
      <c r="A588" t="s">
        <v>973</v>
      </c>
      <c r="B588" t="s">
        <v>1748</v>
      </c>
      <c r="C588" t="s">
        <v>768</v>
      </c>
      <c r="D588" t="s">
        <v>1749</v>
      </c>
      <c r="E588" t="s">
        <v>74</v>
      </c>
      <c r="F588" t="s">
        <v>3</v>
      </c>
      <c r="G588" t="str">
        <f>HYPERLINK("https://www.facebook.com/permalink.php?story_fbid=pfbid0szG6DqrsnXjsMxAE2TRzSyQSFAtZtYFcgHfmnDRpXy1wejfFXLYfZMEiwsi7RmMjl&amp;id=100090843379637&amp;comment_id=920552627370772")</f>
        <v>https://www.facebook.com/permalink.php?story_fbid=pfbid0szG6DqrsnXjsMxAE2TRzSyQSFAtZtYFcgHfmnDRpXy1wejfFXLYfZMEiwsi7RmMjl&amp;id=100090843379637&amp;comment_id=920552627370772</v>
      </c>
      <c r="H588" t="s">
        <v>28</v>
      </c>
      <c r="I588" t="s">
        <v>1750</v>
      </c>
      <c r="K588" t="str">
        <f>HYPERLINK("https://www.facebook.com/100075512933702")</f>
        <v>https://www.facebook.com/100075512933702</v>
      </c>
      <c r="M588" t="s">
        <v>40</v>
      </c>
      <c r="N588" t="s">
        <v>31</v>
      </c>
      <c r="O588" t="s">
        <v>876</v>
      </c>
      <c r="P588" t="str">
        <f>HYPERLINK("https://www.facebook.com/100090843379637")</f>
        <v>https://www.facebook.com/100090843379637</v>
      </c>
      <c r="R588" t="s">
        <v>32</v>
      </c>
      <c r="S588" t="s">
        <v>85</v>
      </c>
      <c r="T588" t="s">
        <v>34</v>
      </c>
      <c r="U588" t="s">
        <v>899</v>
      </c>
      <c r="V588" t="s">
        <v>900</v>
      </c>
    </row>
    <row r="589" spans="1:22" ht="16">
      <c r="A589" t="s">
        <v>973</v>
      </c>
      <c r="B589" t="s">
        <v>860</v>
      </c>
      <c r="C589" t="s">
        <v>80</v>
      </c>
      <c r="D589" t="s">
        <v>1751</v>
      </c>
      <c r="E589" t="s">
        <v>74</v>
      </c>
      <c r="F589" t="s">
        <v>3</v>
      </c>
      <c r="G589" t="str">
        <f>HYPERLINK("https://www.facebook.com/westukrnews/posts/pfbid05KpJzZfAmc7DG6HMNPojmy3FDtYQBjx33JCcksAdDUDGcWNSDnn66BSqDiowXeWol?comment_id=2284827935340357")</f>
        <v>https://www.facebook.com/westukrnews/posts/pfbid05KpJzZfAmc7DG6HMNPojmy3FDtYQBjx33JCcksAdDUDGcWNSDnn66BSqDiowXeWol?comment_id=2284827935340357</v>
      </c>
      <c r="H589" t="s">
        <v>28</v>
      </c>
      <c r="I589" t="s">
        <v>1752</v>
      </c>
      <c r="K589" t="str">
        <f>HYPERLINK("https://www.facebook.com/100063151115979")</f>
        <v>https://www.facebook.com/100063151115979</v>
      </c>
      <c r="M589" t="s">
        <v>30</v>
      </c>
      <c r="N589" t="s">
        <v>31</v>
      </c>
      <c r="O589" t="s">
        <v>813</v>
      </c>
      <c r="P589" t="str">
        <f>HYPERLINK("https://www.facebook.com/264234810584424")</f>
        <v>https://www.facebook.com/264234810584424</v>
      </c>
      <c r="Q589">
        <v>559985</v>
      </c>
      <c r="R589" t="s">
        <v>32</v>
      </c>
      <c r="S589" t="s">
        <v>85</v>
      </c>
      <c r="T589" t="s">
        <v>34</v>
      </c>
      <c r="U589" t="s">
        <v>487</v>
      </c>
      <c r="V589" t="s">
        <v>814</v>
      </c>
    </row>
    <row r="590" spans="1:20" ht="16">
      <c r="A590" t="s">
        <v>973</v>
      </c>
      <c r="B590" t="s">
        <v>860</v>
      </c>
      <c r="C590" t="s">
        <v>768</v>
      </c>
      <c r="D590" t="s">
        <v>1753</v>
      </c>
      <c r="E590" t="s">
        <v>74</v>
      </c>
      <c r="F590" t="s">
        <v>3</v>
      </c>
      <c r="G590" t="str">
        <f>HYPERLINK("https://www.facebook.com/groups/450700568661648/posts/2526693181062366/?comment_id=2526873611044323")</f>
        <v>https://www.facebook.com/groups/450700568661648/posts/2526693181062366/?comment_id=2526873611044323</v>
      </c>
      <c r="H590" t="s">
        <v>28</v>
      </c>
      <c r="I590" t="s">
        <v>1754</v>
      </c>
      <c r="K590" t="str">
        <f>HYPERLINK("https://www.facebook.com/100073872713787")</f>
        <v>https://www.facebook.com/100073872713787</v>
      </c>
      <c r="M590" t="s">
        <v>30</v>
      </c>
      <c r="N590" t="s">
        <v>31</v>
      </c>
      <c r="O590" t="s">
        <v>880</v>
      </c>
      <c r="P590" t="str">
        <f>HYPERLINK("https://www.facebook.com/450700568661648")</f>
        <v>https://www.facebook.com/450700568661648</v>
      </c>
      <c r="Q590">
        <v>78964</v>
      </c>
      <c r="R590" t="s">
        <v>32</v>
      </c>
      <c r="S590" t="s">
        <v>33</v>
      </c>
      <c r="T590" t="s">
        <v>34</v>
      </c>
    </row>
    <row r="591" spans="1:22" ht="16">
      <c r="A591" t="s">
        <v>973</v>
      </c>
      <c r="B591" t="s">
        <v>1755</v>
      </c>
      <c r="C591" t="s">
        <v>80</v>
      </c>
      <c r="D591" t="s">
        <v>1756</v>
      </c>
      <c r="E591" t="s">
        <v>74</v>
      </c>
      <c r="F591" t="s">
        <v>3</v>
      </c>
      <c r="G591" t="str">
        <f>HYPERLINK("https://www.facebook.com/westukrnews/posts/pfbid05KpJzZfAmc7DG6HMNPojmy3FDtYQBjx33JCcksAdDUDGcWNSDnn66BSqDiowXeWol?comment_id=1234985342056219")</f>
        <v>https://www.facebook.com/westukrnews/posts/pfbid05KpJzZfAmc7DG6HMNPojmy3FDtYQBjx33JCcksAdDUDGcWNSDnn66BSqDiowXeWol?comment_id=1234985342056219</v>
      </c>
      <c r="H591" t="s">
        <v>28</v>
      </c>
      <c r="I591" t="s">
        <v>1757</v>
      </c>
      <c r="K591" t="str">
        <f>HYPERLINK("https://www.facebook.com/100035582747594")</f>
        <v>https://www.facebook.com/100035582747594</v>
      </c>
      <c r="M591" t="s">
        <v>30</v>
      </c>
      <c r="N591" t="s">
        <v>31</v>
      </c>
      <c r="O591" t="s">
        <v>813</v>
      </c>
      <c r="P591" t="str">
        <f>HYPERLINK("https://www.facebook.com/264234810584424")</f>
        <v>https://www.facebook.com/264234810584424</v>
      </c>
      <c r="Q591">
        <v>559985</v>
      </c>
      <c r="R591" t="s">
        <v>32</v>
      </c>
      <c r="S591" t="s">
        <v>33</v>
      </c>
      <c r="T591" t="s">
        <v>34</v>
      </c>
      <c r="U591" t="s">
        <v>487</v>
      </c>
      <c r="V591" t="s">
        <v>1585</v>
      </c>
    </row>
    <row r="592" spans="1:22" ht="16">
      <c r="A592" t="s">
        <v>973</v>
      </c>
      <c r="B592" t="s">
        <v>1758</v>
      </c>
      <c r="C592" t="s">
        <v>80</v>
      </c>
      <c r="D592" t="s">
        <v>1759</v>
      </c>
      <c r="E592" t="s">
        <v>74</v>
      </c>
      <c r="F592" t="s">
        <v>3</v>
      </c>
      <c r="G592" t="str">
        <f>HYPERLINK("https://www.facebook.com/westukrnews/posts/pfbid05KpJzZfAmc7DG6HMNPojmy3FDtYQBjx33JCcksAdDUDGcWNSDnn66BSqDiowXeWol?comment_id=2180034699496114")</f>
        <v>https://www.facebook.com/westukrnews/posts/pfbid05KpJzZfAmc7DG6HMNPojmy3FDtYQBjx33JCcksAdDUDGcWNSDnn66BSqDiowXeWol?comment_id=2180034699496114</v>
      </c>
      <c r="H592" t="s">
        <v>28</v>
      </c>
      <c r="I592" t="s">
        <v>1760</v>
      </c>
      <c r="K592" t="str">
        <f>HYPERLINK("https://www.facebook.com/100025358868144")</f>
        <v>https://www.facebook.com/100025358868144</v>
      </c>
      <c r="M592" t="s">
        <v>30</v>
      </c>
      <c r="N592" t="s">
        <v>31</v>
      </c>
      <c r="O592" t="s">
        <v>813</v>
      </c>
      <c r="P592" t="str">
        <f>HYPERLINK("https://www.facebook.com/264234810584424")</f>
        <v>https://www.facebook.com/264234810584424</v>
      </c>
      <c r="Q592">
        <v>559985</v>
      </c>
      <c r="R592" t="s">
        <v>32</v>
      </c>
      <c r="S592" t="s">
        <v>33</v>
      </c>
      <c r="T592" t="s">
        <v>1761</v>
      </c>
      <c r="U592" t="s">
        <v>1762</v>
      </c>
      <c r="V592" t="s">
        <v>1763</v>
      </c>
    </row>
    <row r="593" spans="1:22" ht="16">
      <c r="A593" t="s">
        <v>973</v>
      </c>
      <c r="B593" t="s">
        <v>1764</v>
      </c>
      <c r="C593" t="s">
        <v>24</v>
      </c>
      <c r="D593" t="s">
        <v>254</v>
      </c>
      <c r="E593" t="s">
        <v>45</v>
      </c>
      <c r="F593" t="s">
        <v>46</v>
      </c>
      <c r="G593" t="str">
        <f>HYPERLINK("https://www.facebook.com/26159577610398161")</f>
        <v>https://www.facebook.com/26159577610398161</v>
      </c>
      <c r="H593" t="s">
        <v>28</v>
      </c>
      <c r="I593" t="s">
        <v>1765</v>
      </c>
      <c r="J593" t="s">
        <v>1766</v>
      </c>
      <c r="K593" t="str">
        <f>HYPERLINK("https://www.facebook.com/100003178357789")</f>
        <v>https://www.facebook.com/100003178357789</v>
      </c>
      <c r="M593" t="s">
        <v>40</v>
      </c>
      <c r="N593" t="s">
        <v>31</v>
      </c>
      <c r="O593" t="s">
        <v>1765</v>
      </c>
      <c r="P593" t="str">
        <f>HYPERLINK("https://www.facebook.com/100003178357789")</f>
        <v>https://www.facebook.com/100003178357789</v>
      </c>
      <c r="R593" t="s">
        <v>32</v>
      </c>
      <c r="S593" t="s">
        <v>33</v>
      </c>
      <c r="T593" t="s">
        <v>34</v>
      </c>
      <c r="U593" t="s">
        <v>487</v>
      </c>
      <c r="V593" t="s">
        <v>1585</v>
      </c>
    </row>
    <row r="594" spans="1:20" ht="16">
      <c r="A594" t="s">
        <v>973</v>
      </c>
      <c r="B594" t="s">
        <v>1767</v>
      </c>
      <c r="C594" t="s">
        <v>24</v>
      </c>
      <c r="D594" t="s">
        <v>254</v>
      </c>
      <c r="E594" t="s">
        <v>45</v>
      </c>
      <c r="F594" t="s">
        <v>46</v>
      </c>
      <c r="G594" t="str">
        <f>HYPERLINK("https://www.facebook.com/2400240410444776")</f>
        <v>https://www.facebook.com/2400240410444776</v>
      </c>
      <c r="H594" t="s">
        <v>28</v>
      </c>
      <c r="I594" t="s">
        <v>1768</v>
      </c>
      <c r="K594" t="str">
        <f>HYPERLINK("https://www.facebook.com/100039400685740")</f>
        <v>https://www.facebook.com/100039400685740</v>
      </c>
      <c r="L594">
        <v>6</v>
      </c>
      <c r="M594" t="s">
        <v>30</v>
      </c>
      <c r="N594" t="s">
        <v>31</v>
      </c>
      <c r="O594" t="s">
        <v>1769</v>
      </c>
      <c r="P594" t="str">
        <f>HYPERLINK("https://www.facebook.com/534542233681279")</f>
        <v>https://www.facebook.com/534542233681279</v>
      </c>
      <c r="Q594">
        <v>2585</v>
      </c>
      <c r="R594" t="s">
        <v>32</v>
      </c>
      <c r="S594" t="s">
        <v>33</v>
      </c>
      <c r="T594" t="s">
        <v>34</v>
      </c>
    </row>
    <row r="595" spans="1:20" ht="16">
      <c r="A595" t="s">
        <v>973</v>
      </c>
      <c r="B595" t="s">
        <v>1767</v>
      </c>
      <c r="C595" t="s">
        <v>24</v>
      </c>
      <c r="D595" t="s">
        <v>254</v>
      </c>
      <c r="E595" t="s">
        <v>45</v>
      </c>
      <c r="F595" t="s">
        <v>46</v>
      </c>
      <c r="G595" t="str">
        <f>HYPERLINK("https://www.facebook.com/2358752964629667")</f>
        <v>https://www.facebook.com/2358752964629667</v>
      </c>
      <c r="H595" t="s">
        <v>28</v>
      </c>
      <c r="I595" t="s">
        <v>1768</v>
      </c>
      <c r="K595" t="str">
        <f>HYPERLINK("https://www.facebook.com/100039400685740")</f>
        <v>https://www.facebook.com/100039400685740</v>
      </c>
      <c r="L595">
        <v>6</v>
      </c>
      <c r="M595" t="s">
        <v>30</v>
      </c>
      <c r="N595" t="s">
        <v>31</v>
      </c>
      <c r="O595" t="s">
        <v>1770</v>
      </c>
      <c r="P595" t="str">
        <f>HYPERLINK("https://www.facebook.com/222199614951690")</f>
        <v>https://www.facebook.com/222199614951690</v>
      </c>
      <c r="Q595">
        <v>30345</v>
      </c>
      <c r="R595" t="s">
        <v>32</v>
      </c>
      <c r="S595" t="s">
        <v>33</v>
      </c>
      <c r="T595" t="s">
        <v>34</v>
      </c>
    </row>
    <row r="596" spans="1:22" ht="16">
      <c r="A596" t="s">
        <v>973</v>
      </c>
      <c r="B596" t="s">
        <v>1771</v>
      </c>
      <c r="C596" t="s">
        <v>768</v>
      </c>
      <c r="D596" t="s">
        <v>1772</v>
      </c>
      <c r="E596" t="s">
        <v>74</v>
      </c>
      <c r="F596" t="s">
        <v>3</v>
      </c>
      <c r="G596" t="str">
        <f>HYPERLINK("https://www.facebook.com/toyelviv/posts/pfbid02HyVHmdRrHaKvpJCV4k8sSATEQmB44tvrgpepSrJQ66Qs74jVAzPQ6qaz5ZMHUoNBl?comment_id=1245596257038175")</f>
        <v>https://www.facebook.com/toyelviv/posts/pfbid02HyVHmdRrHaKvpJCV4k8sSATEQmB44tvrgpepSrJQ66Qs74jVAzPQ6qaz5ZMHUoNBl?comment_id=1245596257038175</v>
      </c>
      <c r="H596" t="s">
        <v>28</v>
      </c>
      <c r="I596" t="s">
        <v>1773</v>
      </c>
      <c r="K596" t="str">
        <f>HYPERLINK("https://www.facebook.com/100033934729355")</f>
        <v>https://www.facebook.com/100033934729355</v>
      </c>
      <c r="M596" t="s">
        <v>40</v>
      </c>
      <c r="N596" t="s">
        <v>31</v>
      </c>
      <c r="O596" t="s">
        <v>1559</v>
      </c>
      <c r="P596" t="str">
        <f>HYPERLINK("https://www.facebook.com/320892981422193")</f>
        <v>https://www.facebook.com/320892981422193</v>
      </c>
      <c r="Q596">
        <v>293869</v>
      </c>
      <c r="R596" t="s">
        <v>32</v>
      </c>
      <c r="S596" t="s">
        <v>85</v>
      </c>
      <c r="T596" t="s">
        <v>34</v>
      </c>
      <c r="U596" t="s">
        <v>167</v>
      </c>
      <c r="V596" t="s">
        <v>189</v>
      </c>
    </row>
    <row r="597" spans="1:22" ht="16">
      <c r="A597" t="s">
        <v>973</v>
      </c>
      <c r="B597" t="s">
        <v>1774</v>
      </c>
      <c r="C597" t="s">
        <v>80</v>
      </c>
      <c r="D597" t="s">
        <v>1775</v>
      </c>
      <c r="E597" t="s">
        <v>74</v>
      </c>
      <c r="F597" t="s">
        <v>102</v>
      </c>
      <c r="G597" t="str">
        <f>HYPERLINK("https://www.facebook.com/permalink.php?story_fbid=pfbid0o4Et6HrEE5ifbNf1WoRrPde8qq1tk5bZyoQXFcEkcT9YM2EXc2PiazgXwJcmggJ7l&amp;id=100006975138432&amp;comment_id=1225602486437542&amp;reply_comment_id=1591531402175494")</f>
        <v>https://www.facebook.com/permalink.php?story_fbid=pfbid0o4Et6HrEE5ifbNf1WoRrPde8qq1tk5bZyoQXFcEkcT9YM2EXc2PiazgXwJcmggJ7l&amp;id=100006975138432&amp;comment_id=1225602486437542&amp;reply_comment_id=1591531402175494</v>
      </c>
      <c r="H597" t="s">
        <v>28</v>
      </c>
      <c r="I597" t="s">
        <v>1399</v>
      </c>
      <c r="K597" t="str">
        <f>HYPERLINK("https://www.facebook.com/100006975138432")</f>
        <v>https://www.facebook.com/100006975138432</v>
      </c>
      <c r="M597" t="s">
        <v>40</v>
      </c>
      <c r="N597" t="s">
        <v>31</v>
      </c>
      <c r="O597" t="s">
        <v>1399</v>
      </c>
      <c r="P597" t="str">
        <f>HYPERLINK("https://www.facebook.com/100006975138432")</f>
        <v>https://www.facebook.com/100006975138432</v>
      </c>
      <c r="R597" t="s">
        <v>32</v>
      </c>
      <c r="S597" t="s">
        <v>1776</v>
      </c>
      <c r="T597" t="s">
        <v>34</v>
      </c>
      <c r="U597" t="s">
        <v>58</v>
      </c>
      <c r="V597" t="s">
        <v>58</v>
      </c>
    </row>
    <row r="598" spans="1:22" ht="16">
      <c r="A598" t="s">
        <v>973</v>
      </c>
      <c r="B598" t="s">
        <v>871</v>
      </c>
      <c r="C598" t="s">
        <v>768</v>
      </c>
      <c r="D598" t="s">
        <v>1777</v>
      </c>
      <c r="E598" t="s">
        <v>74</v>
      </c>
      <c r="F598" t="s">
        <v>3</v>
      </c>
      <c r="G598" t="str">
        <f>HYPERLINK("https://www.facebook.com/toyelviv/posts/pfbid02HyVHmdRrHaKvpJCV4k8sSATEQmB44tvrgpepSrJQ66Qs74jVAzPQ6qaz5ZMHUoNBl?comment_id=1456689632621146")</f>
        <v>https://www.facebook.com/toyelviv/posts/pfbid02HyVHmdRrHaKvpJCV4k8sSATEQmB44tvrgpepSrJQ66Qs74jVAzPQ6qaz5ZMHUoNBl?comment_id=1456689632621146</v>
      </c>
      <c r="H598" t="s">
        <v>28</v>
      </c>
      <c r="I598" t="s">
        <v>1778</v>
      </c>
      <c r="K598" t="str">
        <f>HYPERLINK("https://www.facebook.com/100023514766543")</f>
        <v>https://www.facebook.com/100023514766543</v>
      </c>
      <c r="M598" t="s">
        <v>30</v>
      </c>
      <c r="N598" t="s">
        <v>31</v>
      </c>
      <c r="O598" t="s">
        <v>1559</v>
      </c>
      <c r="P598" t="str">
        <f>HYPERLINK("https://www.facebook.com/320892981422193")</f>
        <v>https://www.facebook.com/320892981422193</v>
      </c>
      <c r="Q598">
        <v>293869</v>
      </c>
      <c r="R598" t="s">
        <v>32</v>
      </c>
      <c r="S598" t="s">
        <v>33</v>
      </c>
      <c r="T598" t="s">
        <v>34</v>
      </c>
      <c r="U598" t="s">
        <v>235</v>
      </c>
      <c r="V598" t="s">
        <v>1061</v>
      </c>
    </row>
    <row r="599" spans="1:20" ht="16">
      <c r="A599" t="s">
        <v>973</v>
      </c>
      <c r="B599" t="s">
        <v>871</v>
      </c>
      <c r="C599" t="s">
        <v>768</v>
      </c>
      <c r="D599" t="s">
        <v>1779</v>
      </c>
      <c r="E599" t="s">
        <v>74</v>
      </c>
      <c r="F599" t="s">
        <v>3</v>
      </c>
      <c r="G599" t="str">
        <f>HYPERLINK("https://www.facebook.com/pr0ternopil/posts/pfbid02pTpTaTjiHaMSxHoUZxAKRGW9apE2tT4X8xS1gggT8HBnBJe7mzfmpbrZyKLhVpsTl?comment_id=945901894678876")</f>
        <v>https://www.facebook.com/pr0ternopil/posts/pfbid02pTpTaTjiHaMSxHoUZxAKRGW9apE2tT4X8xS1gggT8HBnBJe7mzfmpbrZyKLhVpsTl?comment_id=945901894678876</v>
      </c>
      <c r="H599" t="s">
        <v>28</v>
      </c>
      <c r="I599" t="s">
        <v>1780</v>
      </c>
      <c r="K599" t="str">
        <f>HYPERLINK("https://www.facebook.com/100024956673714")</f>
        <v>https://www.facebook.com/100024956673714</v>
      </c>
      <c r="M599" t="s">
        <v>30</v>
      </c>
      <c r="N599" t="s">
        <v>31</v>
      </c>
      <c r="O599" t="s">
        <v>1735</v>
      </c>
      <c r="P599" t="str">
        <f>HYPERLINK("https://www.facebook.com/2172498003027664")</f>
        <v>https://www.facebook.com/2172498003027664</v>
      </c>
      <c r="Q599">
        <v>34331</v>
      </c>
      <c r="R599" t="s">
        <v>32</v>
      </c>
      <c r="S599" t="s">
        <v>85</v>
      </c>
      <c r="T599" t="s">
        <v>34</v>
      </c>
    </row>
    <row r="600" spans="1:22" ht="16">
      <c r="A600" t="s">
        <v>973</v>
      </c>
      <c r="B600" t="s">
        <v>1781</v>
      </c>
      <c r="C600" t="s">
        <v>24</v>
      </c>
      <c r="D600" t="s">
        <v>44</v>
      </c>
      <c r="E600" t="s">
        <v>45</v>
      </c>
      <c r="F600" t="s">
        <v>46</v>
      </c>
      <c r="G600" t="str">
        <f>HYPERLINK("https://www.facebook.com/2143537663048684")</f>
        <v>https://www.facebook.com/2143537663048684</v>
      </c>
      <c r="H600" t="s">
        <v>28</v>
      </c>
      <c r="I600" t="s">
        <v>1782</v>
      </c>
      <c r="K600" t="str">
        <f>HYPERLINK("https://www.facebook.com/100021774120735")</f>
        <v>https://www.facebook.com/100021774120735</v>
      </c>
      <c r="M600" t="s">
        <v>40</v>
      </c>
      <c r="N600" t="s">
        <v>31</v>
      </c>
      <c r="O600" t="s">
        <v>1782</v>
      </c>
      <c r="P600" t="str">
        <f>HYPERLINK("https://www.facebook.com/100021774120735")</f>
        <v>https://www.facebook.com/100021774120735</v>
      </c>
      <c r="R600" t="s">
        <v>32</v>
      </c>
      <c r="S600" t="s">
        <v>33</v>
      </c>
      <c r="T600" t="s">
        <v>34</v>
      </c>
      <c r="U600" t="s">
        <v>167</v>
      </c>
      <c r="V600" t="s">
        <v>189</v>
      </c>
    </row>
    <row r="601" spans="1:22" ht="16">
      <c r="A601" t="s">
        <v>973</v>
      </c>
      <c r="B601" t="s">
        <v>1783</v>
      </c>
      <c r="C601" t="s">
        <v>80</v>
      </c>
      <c r="D601" t="s">
        <v>1784</v>
      </c>
      <c r="E601" t="s">
        <v>74</v>
      </c>
      <c r="F601" t="s">
        <v>3</v>
      </c>
      <c r="G601" t="str">
        <f>HYPERLINK("https://www.facebook.com/westukrnews/posts/pfbid05KpJzZfAmc7DG6HMNPojmy3FDtYQBjx33JCcksAdDUDGcWNSDnn66BSqDiowXeWol?comment_id=1971128283497653")</f>
        <v>https://www.facebook.com/westukrnews/posts/pfbid05KpJzZfAmc7DG6HMNPojmy3FDtYQBjx33JCcksAdDUDGcWNSDnn66BSqDiowXeWol?comment_id=1971128283497653</v>
      </c>
      <c r="H601" t="s">
        <v>28</v>
      </c>
      <c r="I601" t="s">
        <v>1785</v>
      </c>
      <c r="K601" t="str">
        <f>HYPERLINK("https://www.facebook.com/100028940913362")</f>
        <v>https://www.facebook.com/100028940913362</v>
      </c>
      <c r="M601" t="s">
        <v>30</v>
      </c>
      <c r="N601" t="s">
        <v>31</v>
      </c>
      <c r="O601" t="s">
        <v>813</v>
      </c>
      <c r="P601" t="str">
        <f>HYPERLINK("https://www.facebook.com/264234810584424")</f>
        <v>https://www.facebook.com/264234810584424</v>
      </c>
      <c r="Q601">
        <v>559985</v>
      </c>
      <c r="R601" t="s">
        <v>32</v>
      </c>
      <c r="S601" t="s">
        <v>33</v>
      </c>
      <c r="T601" t="s">
        <v>34</v>
      </c>
      <c r="U601" t="s">
        <v>542</v>
      </c>
      <c r="V601" t="s">
        <v>1716</v>
      </c>
    </row>
    <row r="602" spans="1:20" ht="16">
      <c r="A602" t="s">
        <v>973</v>
      </c>
      <c r="B602" t="s">
        <v>1786</v>
      </c>
      <c r="C602" t="s">
        <v>768</v>
      </c>
      <c r="D602" t="s">
        <v>1787</v>
      </c>
      <c r="E602" t="s">
        <v>74</v>
      </c>
      <c r="F602" t="s">
        <v>3</v>
      </c>
      <c r="G602" t="str">
        <f>HYPERLINK("https://www.facebook.com/toyelviv/posts/pfbid02HyVHmdRrHaKvpJCV4k8sSATEQmB44tvrgpepSrJQ66Qs74jVAzPQ6qaz5ZMHUoNBl?comment_id=898207569511218")</f>
        <v>https://www.facebook.com/toyelviv/posts/pfbid02HyVHmdRrHaKvpJCV4k8sSATEQmB44tvrgpepSrJQ66Qs74jVAzPQ6qaz5ZMHUoNBl?comment_id=898207569511218</v>
      </c>
      <c r="H602" t="s">
        <v>28</v>
      </c>
      <c r="I602" t="s">
        <v>1788</v>
      </c>
      <c r="J602" t="s">
        <v>1789</v>
      </c>
      <c r="K602" t="str">
        <f>HYPERLINK("https://www.facebook.com/100003796268226")</f>
        <v>https://www.facebook.com/100003796268226</v>
      </c>
      <c r="L602">
        <v>0</v>
      </c>
      <c r="M602" t="s">
        <v>40</v>
      </c>
      <c r="N602" t="s">
        <v>31</v>
      </c>
      <c r="O602" t="s">
        <v>1559</v>
      </c>
      <c r="P602" t="str">
        <f>HYPERLINK("https://www.facebook.com/320892981422193")</f>
        <v>https://www.facebook.com/320892981422193</v>
      </c>
      <c r="Q602">
        <v>293869</v>
      </c>
      <c r="R602" t="s">
        <v>32</v>
      </c>
      <c r="S602" t="s">
        <v>85</v>
      </c>
      <c r="T602" t="s">
        <v>34</v>
      </c>
    </row>
    <row r="603" spans="1:20" ht="16">
      <c r="A603" t="s">
        <v>973</v>
      </c>
      <c r="B603" t="s">
        <v>1790</v>
      </c>
      <c r="C603" t="s">
        <v>768</v>
      </c>
      <c r="D603" t="s">
        <v>1791</v>
      </c>
      <c r="E603" t="s">
        <v>74</v>
      </c>
      <c r="F603" t="s">
        <v>3</v>
      </c>
      <c r="G603" t="str">
        <f>HYPERLINK("https://www.facebook.com/toyelviv/posts/pfbid02HyVHmdRrHaKvpJCV4k8sSATEQmB44tvrgpepSrJQ66Qs74jVAzPQ6qaz5ZMHUoNBl?comment_id=1412627230661236")</f>
        <v>https://www.facebook.com/toyelviv/posts/pfbid02HyVHmdRrHaKvpJCV4k8sSATEQmB44tvrgpepSrJQ66Qs74jVAzPQ6qaz5ZMHUoNBl?comment_id=1412627230661236</v>
      </c>
      <c r="H603" t="s">
        <v>28</v>
      </c>
      <c r="I603" t="s">
        <v>1792</v>
      </c>
      <c r="K603" t="str">
        <f>HYPERLINK("https://www.facebook.com/100049807343488")</f>
        <v>https://www.facebook.com/100049807343488</v>
      </c>
      <c r="M603" t="s">
        <v>40</v>
      </c>
      <c r="N603" t="s">
        <v>31</v>
      </c>
      <c r="O603" t="s">
        <v>1559</v>
      </c>
      <c r="P603" t="str">
        <f>HYPERLINK("https://www.facebook.com/320892981422193")</f>
        <v>https://www.facebook.com/320892981422193</v>
      </c>
      <c r="Q603">
        <v>293869</v>
      </c>
      <c r="R603" t="s">
        <v>32</v>
      </c>
      <c r="S603" t="s">
        <v>33</v>
      </c>
      <c r="T603" t="s">
        <v>34</v>
      </c>
    </row>
    <row r="604" spans="1:22" ht="16">
      <c r="A604" t="s">
        <v>973</v>
      </c>
      <c r="B604" t="s">
        <v>1793</v>
      </c>
      <c r="C604" t="s">
        <v>768</v>
      </c>
      <c r="D604" t="s">
        <v>1794</v>
      </c>
      <c r="E604" t="s">
        <v>74</v>
      </c>
      <c r="F604" t="s">
        <v>3</v>
      </c>
      <c r="G604" t="str">
        <f>HYPERLINK("https://www.facebook.com/toyelviv/posts/pfbid02HyVHmdRrHaKvpJCV4k8sSATEQmB44tvrgpepSrJQ66Qs74jVAzPQ6qaz5ZMHUoNBl?comment_id=25944602808539676&amp;reply_comment_id=2654050971640522")</f>
        <v>https://www.facebook.com/toyelviv/posts/pfbid02HyVHmdRrHaKvpJCV4k8sSATEQmB44tvrgpepSrJQ66Qs74jVAzPQ6qaz5ZMHUoNBl?comment_id=25944602808539676&amp;reply_comment_id=2654050971640522</v>
      </c>
      <c r="H604" t="s">
        <v>28</v>
      </c>
      <c r="I604" t="s">
        <v>1795</v>
      </c>
      <c r="J604" t="s">
        <v>1796</v>
      </c>
      <c r="K604" t="str">
        <f>HYPERLINK("https://www.facebook.com/100021494540801")</f>
        <v>https://www.facebook.com/100021494540801</v>
      </c>
      <c r="M604" t="s">
        <v>30</v>
      </c>
      <c r="N604" t="s">
        <v>31</v>
      </c>
      <c r="O604" t="s">
        <v>1559</v>
      </c>
      <c r="P604" t="str">
        <f>HYPERLINK("https://www.facebook.com/320892981422193")</f>
        <v>https://www.facebook.com/320892981422193</v>
      </c>
      <c r="Q604">
        <v>293869</v>
      </c>
      <c r="R604" t="s">
        <v>32</v>
      </c>
      <c r="S604" t="s">
        <v>33</v>
      </c>
      <c r="T604" t="s">
        <v>34</v>
      </c>
      <c r="U604" t="s">
        <v>167</v>
      </c>
      <c r="V604" t="s">
        <v>189</v>
      </c>
    </row>
    <row r="605" spans="1:21" ht="16">
      <c r="A605" t="s">
        <v>973</v>
      </c>
      <c r="B605" t="s">
        <v>43</v>
      </c>
      <c r="C605" t="s">
        <v>768</v>
      </c>
      <c r="D605" t="s">
        <v>1797</v>
      </c>
      <c r="E605" t="s">
        <v>74</v>
      </c>
      <c r="F605" t="s">
        <v>3</v>
      </c>
      <c r="G605" t="str">
        <f>HYPERLINK("https://www.facebook.com/permalink.php?story_fbid=pfbid0szG6DqrsnXjsMxAE2TRzSyQSFAtZtYFcgHfmnDRpXy1wejfFXLYfZMEiwsi7RmMjl&amp;id=100090843379637&amp;comment_id=1254404680120247")</f>
        <v>https://www.facebook.com/permalink.php?story_fbid=pfbid0szG6DqrsnXjsMxAE2TRzSyQSFAtZtYFcgHfmnDRpXy1wejfFXLYfZMEiwsi7RmMjl&amp;id=100090843379637&amp;comment_id=1254404680120247</v>
      </c>
      <c r="H605" t="s">
        <v>28</v>
      </c>
      <c r="I605" t="s">
        <v>1798</v>
      </c>
      <c r="K605" t="str">
        <f>HYPERLINK("https://www.facebook.com/100070381594308")</f>
        <v>https://www.facebook.com/100070381594308</v>
      </c>
      <c r="M605" t="s">
        <v>40</v>
      </c>
      <c r="N605" t="s">
        <v>31</v>
      </c>
      <c r="O605" t="s">
        <v>876</v>
      </c>
      <c r="P605" t="str">
        <f>HYPERLINK("https://www.facebook.com/100090843379637")</f>
        <v>https://www.facebook.com/100090843379637</v>
      </c>
      <c r="R605" t="s">
        <v>32</v>
      </c>
      <c r="S605" t="s">
        <v>859</v>
      </c>
      <c r="T605" t="s">
        <v>34</v>
      </c>
      <c r="U605" t="s">
        <v>309</v>
      </c>
    </row>
    <row r="606" spans="1:22" ht="16">
      <c r="A606" t="s">
        <v>973</v>
      </c>
      <c r="B606" t="s">
        <v>1799</v>
      </c>
      <c r="C606" t="s">
        <v>80</v>
      </c>
      <c r="D606" t="s">
        <v>1800</v>
      </c>
      <c r="E606" t="s">
        <v>74</v>
      </c>
      <c r="F606" t="s">
        <v>3</v>
      </c>
      <c r="G606" t="str">
        <f>HYPERLINK("https://www.facebook.com/permalink.php?story_fbid=pfbid0o4Et6HrEE5ifbNf1WoRrPde8qq1tk5bZyoQXFcEkcT9YM2EXc2PiazgXwJcmggJ7l&amp;id=100006975138432&amp;comment_id=2152784252127790")</f>
        <v>https://www.facebook.com/permalink.php?story_fbid=pfbid0o4Et6HrEE5ifbNf1WoRrPde8qq1tk5bZyoQXFcEkcT9YM2EXc2PiazgXwJcmggJ7l&amp;id=100006975138432&amp;comment_id=2152784252127790</v>
      </c>
      <c r="H606" t="s">
        <v>28</v>
      </c>
      <c r="I606" t="s">
        <v>1801</v>
      </c>
      <c r="K606" t="str">
        <f>HYPERLINK("https://www.facebook.com/100002342751823")</f>
        <v>https://www.facebook.com/100002342751823</v>
      </c>
      <c r="M606" t="s">
        <v>30</v>
      </c>
      <c r="N606" t="s">
        <v>31</v>
      </c>
      <c r="O606" t="s">
        <v>1399</v>
      </c>
      <c r="P606" t="str">
        <f>HYPERLINK("https://www.facebook.com/100006975138432")</f>
        <v>https://www.facebook.com/100006975138432</v>
      </c>
      <c r="R606" t="s">
        <v>32</v>
      </c>
      <c r="S606" t="s">
        <v>85</v>
      </c>
      <c r="T606" t="s">
        <v>34</v>
      </c>
      <c r="U606" t="s">
        <v>58</v>
      </c>
      <c r="V606" t="s">
        <v>58</v>
      </c>
    </row>
    <row r="607" spans="1:22" ht="16">
      <c r="A607" t="s">
        <v>973</v>
      </c>
      <c r="B607" t="s">
        <v>1802</v>
      </c>
      <c r="C607" t="s">
        <v>24</v>
      </c>
      <c r="D607" t="s">
        <v>1803</v>
      </c>
      <c r="E607" t="s">
        <v>45</v>
      </c>
      <c r="F607" t="s">
        <v>102</v>
      </c>
      <c r="G607" t="str">
        <f>HYPERLINK("https://www.facebook.com/2394552394321281")</f>
        <v>https://www.facebook.com/2394552394321281</v>
      </c>
      <c r="H607" t="s">
        <v>28</v>
      </c>
      <c r="I607" t="s">
        <v>1804</v>
      </c>
      <c r="K607" t="str">
        <f>HYPERLINK("https://www.facebook.com/61583867990348")</f>
        <v>https://www.facebook.com/61583867990348</v>
      </c>
      <c r="M607" t="s">
        <v>40</v>
      </c>
      <c r="N607" t="s">
        <v>31</v>
      </c>
      <c r="O607" t="s">
        <v>1805</v>
      </c>
      <c r="P607" t="str">
        <f>HYPERLINK("https://www.facebook.com/970717676704767")</f>
        <v>https://www.facebook.com/970717676704767</v>
      </c>
      <c r="Q607">
        <v>17317</v>
      </c>
      <c r="R607" t="s">
        <v>32</v>
      </c>
      <c r="S607" t="s">
        <v>33</v>
      </c>
      <c r="T607" t="s">
        <v>34</v>
      </c>
      <c r="U607" t="s">
        <v>542</v>
      </c>
      <c r="V607" t="s">
        <v>828</v>
      </c>
    </row>
    <row r="608" spans="1:22" ht="16">
      <c r="A608" t="s">
        <v>973</v>
      </c>
      <c r="B608" t="s">
        <v>1806</v>
      </c>
      <c r="C608" t="s">
        <v>24</v>
      </c>
      <c r="D608" t="s">
        <v>238</v>
      </c>
      <c r="E608" t="s">
        <v>45</v>
      </c>
      <c r="F608" t="s">
        <v>3</v>
      </c>
      <c r="G608" t="str">
        <f>HYPERLINK("https://www.facebook.com/25914126914882473")</f>
        <v>https://www.facebook.com/25914126914882473</v>
      </c>
      <c r="H608" t="s">
        <v>28</v>
      </c>
      <c r="I608" t="s">
        <v>1807</v>
      </c>
      <c r="J608" t="s">
        <v>1808</v>
      </c>
      <c r="K608" t="str">
        <f>HYPERLINK("https://www.facebook.com/100001355564951")</f>
        <v>https://www.facebook.com/100001355564951</v>
      </c>
      <c r="M608" t="s">
        <v>40</v>
      </c>
      <c r="N608" t="s">
        <v>31</v>
      </c>
      <c r="O608" t="s">
        <v>1807</v>
      </c>
      <c r="P608" t="str">
        <f>HYPERLINK("https://www.facebook.com/100001355564951")</f>
        <v>https://www.facebook.com/100001355564951</v>
      </c>
      <c r="R608" t="s">
        <v>32</v>
      </c>
      <c r="S608" t="s">
        <v>33</v>
      </c>
      <c r="T608" t="s">
        <v>1809</v>
      </c>
      <c r="U608" t="s">
        <v>1810</v>
      </c>
      <c r="V608" t="s">
        <v>1811</v>
      </c>
    </row>
    <row r="609" spans="1:22" ht="16">
      <c r="A609" t="s">
        <v>973</v>
      </c>
      <c r="B609" t="s">
        <v>889</v>
      </c>
      <c r="C609" t="s">
        <v>80</v>
      </c>
      <c r="D609" t="s">
        <v>1812</v>
      </c>
      <c r="E609" t="s">
        <v>74</v>
      </c>
      <c r="F609" t="s">
        <v>3</v>
      </c>
      <c r="G609" t="str">
        <f>HYPERLINK("https://www.facebook.com/westukrnews/posts/pfbid05KpJzZfAmc7DG6HMNPojmy3FDtYQBjx33JCcksAdDUDGcWNSDnn66BSqDiowXeWol?comment_id=923975656782084")</f>
        <v>https://www.facebook.com/westukrnews/posts/pfbid05KpJzZfAmc7DG6HMNPojmy3FDtYQBjx33JCcksAdDUDGcWNSDnn66BSqDiowXeWol?comment_id=923975656782084</v>
      </c>
      <c r="H609" t="s">
        <v>28</v>
      </c>
      <c r="I609" t="s">
        <v>1813</v>
      </c>
      <c r="K609" t="str">
        <f>HYPERLINK("https://www.facebook.com/100051086103775")</f>
        <v>https://www.facebook.com/100051086103775</v>
      </c>
      <c r="M609" t="s">
        <v>30</v>
      </c>
      <c r="N609" t="s">
        <v>31</v>
      </c>
      <c r="O609" t="s">
        <v>813</v>
      </c>
      <c r="P609" t="str">
        <f>HYPERLINK("https://www.facebook.com/264234810584424")</f>
        <v>https://www.facebook.com/264234810584424</v>
      </c>
      <c r="Q609">
        <v>559985</v>
      </c>
      <c r="R609" t="s">
        <v>32</v>
      </c>
      <c r="S609" t="s">
        <v>33</v>
      </c>
      <c r="T609" t="s">
        <v>34</v>
      </c>
      <c r="U609" t="s">
        <v>487</v>
      </c>
      <c r="V609" t="s">
        <v>814</v>
      </c>
    </row>
    <row r="610" spans="1:22" ht="16">
      <c r="A610" t="s">
        <v>973</v>
      </c>
      <c r="B610" t="s">
        <v>1814</v>
      </c>
      <c r="C610" t="s">
        <v>24</v>
      </c>
      <c r="D610" t="s">
        <v>238</v>
      </c>
      <c r="E610" t="s">
        <v>45</v>
      </c>
      <c r="F610" t="s">
        <v>3</v>
      </c>
      <c r="G610" t="str">
        <f>HYPERLINK("https://www.facebook.com/1749245606038676")</f>
        <v>https://www.facebook.com/1749245606038676</v>
      </c>
      <c r="H610" t="s">
        <v>28</v>
      </c>
      <c r="I610" t="s">
        <v>1815</v>
      </c>
      <c r="K610" t="str">
        <f>HYPERLINK("https://www.facebook.com/100028597593346")</f>
        <v>https://www.facebook.com/100028597593346</v>
      </c>
      <c r="M610" t="s">
        <v>40</v>
      </c>
      <c r="N610" t="s">
        <v>31</v>
      </c>
      <c r="O610" t="s">
        <v>1815</v>
      </c>
      <c r="P610" t="str">
        <f>HYPERLINK("https://www.facebook.com/100028597593346")</f>
        <v>https://www.facebook.com/100028597593346</v>
      </c>
      <c r="R610" t="s">
        <v>32</v>
      </c>
      <c r="S610" t="s">
        <v>33</v>
      </c>
      <c r="T610" t="s">
        <v>34</v>
      </c>
      <c r="U610" t="s">
        <v>899</v>
      </c>
      <c r="V610" t="s">
        <v>900</v>
      </c>
    </row>
    <row r="611" spans="1:20" ht="16">
      <c r="A611" t="s">
        <v>973</v>
      </c>
      <c r="B611" t="s">
        <v>1816</v>
      </c>
      <c r="C611" t="s">
        <v>768</v>
      </c>
      <c r="D611" t="s">
        <v>1817</v>
      </c>
      <c r="E611" t="s">
        <v>74</v>
      </c>
      <c r="F611" t="s">
        <v>3</v>
      </c>
      <c r="G611" t="str">
        <f>HYPERLINK("https://www.facebook.com/pr0ternopil/posts/pfbid02pTpTaTjiHaMSxHoUZxAKRGW9apE2tT4X8xS1gggT8HBnBJe7mzfmpbrZyKLhVpsTl?comment_id=1924991625049512")</f>
        <v>https://www.facebook.com/pr0ternopil/posts/pfbid02pTpTaTjiHaMSxHoUZxAKRGW9apE2tT4X8xS1gggT8HBnBJe7mzfmpbrZyKLhVpsTl?comment_id=1924991625049512</v>
      </c>
      <c r="H611" t="s">
        <v>28</v>
      </c>
      <c r="I611" t="s">
        <v>1818</v>
      </c>
      <c r="K611" t="str">
        <f>HYPERLINK("https://www.facebook.com/100017241993580")</f>
        <v>https://www.facebook.com/100017241993580</v>
      </c>
      <c r="M611" t="s">
        <v>30</v>
      </c>
      <c r="N611" t="s">
        <v>31</v>
      </c>
      <c r="O611" t="s">
        <v>1735</v>
      </c>
      <c r="P611" t="str">
        <f>HYPERLINK("https://www.facebook.com/2172498003027664")</f>
        <v>https://www.facebook.com/2172498003027664</v>
      </c>
      <c r="Q611">
        <v>34331</v>
      </c>
      <c r="R611" t="s">
        <v>32</v>
      </c>
      <c r="S611" t="s">
        <v>33</v>
      </c>
      <c r="T611" t="s">
        <v>34</v>
      </c>
    </row>
    <row r="612" spans="1:22" ht="16">
      <c r="A612" t="s">
        <v>973</v>
      </c>
      <c r="B612" t="s">
        <v>1816</v>
      </c>
      <c r="C612" t="s">
        <v>768</v>
      </c>
      <c r="D612" t="s">
        <v>1819</v>
      </c>
      <c r="E612" t="s">
        <v>74</v>
      </c>
      <c r="F612" t="s">
        <v>3</v>
      </c>
      <c r="G612" t="str">
        <f>HYPERLINK("https://www.facebook.com/groups/450700568661648/posts/2526693181062366/?comment_id=2526838831047801")</f>
        <v>https://www.facebook.com/groups/450700568661648/posts/2526693181062366/?comment_id=2526838831047801</v>
      </c>
      <c r="H612" t="s">
        <v>28</v>
      </c>
      <c r="I612" t="s">
        <v>1820</v>
      </c>
      <c r="J612" t="s">
        <v>1821</v>
      </c>
      <c r="K612" t="str">
        <f>HYPERLINK("https://www.facebook.com/100013988912726")</f>
        <v>https://www.facebook.com/100013988912726</v>
      </c>
      <c r="M612" t="s">
        <v>30</v>
      </c>
      <c r="N612" t="s">
        <v>31</v>
      </c>
      <c r="O612" t="s">
        <v>880</v>
      </c>
      <c r="P612" t="str">
        <f>HYPERLINK("https://www.facebook.com/450700568661648")</f>
        <v>https://www.facebook.com/450700568661648</v>
      </c>
      <c r="Q612">
        <v>78964</v>
      </c>
      <c r="R612" t="s">
        <v>32</v>
      </c>
      <c r="S612" t="s">
        <v>33</v>
      </c>
      <c r="T612" t="s">
        <v>34</v>
      </c>
      <c r="U612" t="s">
        <v>309</v>
      </c>
      <c r="V612" t="s">
        <v>1822</v>
      </c>
    </row>
    <row r="613" spans="1:22" ht="16">
      <c r="A613" t="s">
        <v>973</v>
      </c>
      <c r="B613" t="s">
        <v>1823</v>
      </c>
      <c r="C613" t="s">
        <v>768</v>
      </c>
      <c r="D613" t="s">
        <v>1824</v>
      </c>
      <c r="E613" t="s">
        <v>74</v>
      </c>
      <c r="F613" t="s">
        <v>3</v>
      </c>
      <c r="G613" t="str">
        <f>HYPERLINK("https://www.facebook.com/toyelviv/posts/pfbid02HyVHmdRrHaKvpJCV4k8sSATEQmB44tvrgpepSrJQ66Qs74jVAzPQ6qaz5ZMHUoNBl?comment_id=1423262502070797")</f>
        <v>https://www.facebook.com/toyelviv/posts/pfbid02HyVHmdRrHaKvpJCV4k8sSATEQmB44tvrgpepSrJQ66Qs74jVAzPQ6qaz5ZMHUoNBl?comment_id=1423262502070797</v>
      </c>
      <c r="H613" t="s">
        <v>28</v>
      </c>
      <c r="I613" t="s">
        <v>1825</v>
      </c>
      <c r="K613" t="str">
        <f>HYPERLINK("https://www.facebook.com/100013469806778")</f>
        <v>https://www.facebook.com/100013469806778</v>
      </c>
      <c r="L613">
        <v>885</v>
      </c>
      <c r="M613" t="s">
        <v>30</v>
      </c>
      <c r="N613" t="s">
        <v>31</v>
      </c>
      <c r="O613" t="s">
        <v>1559</v>
      </c>
      <c r="P613" t="str">
        <f>HYPERLINK("https://www.facebook.com/320892981422193")</f>
        <v>https://www.facebook.com/320892981422193</v>
      </c>
      <c r="Q613">
        <v>293869</v>
      </c>
      <c r="R613" t="s">
        <v>32</v>
      </c>
      <c r="S613" t="s">
        <v>33</v>
      </c>
      <c r="T613" t="s">
        <v>34</v>
      </c>
      <c r="U613" t="s">
        <v>309</v>
      </c>
      <c r="V613" t="s">
        <v>606</v>
      </c>
    </row>
    <row r="614" spans="1:22" ht="16">
      <c r="A614" t="s">
        <v>973</v>
      </c>
      <c r="B614" t="s">
        <v>1823</v>
      </c>
      <c r="C614" t="s">
        <v>80</v>
      </c>
      <c r="D614" t="s">
        <v>1826</v>
      </c>
      <c r="E614" t="s">
        <v>74</v>
      </c>
      <c r="F614" t="s">
        <v>3</v>
      </c>
      <c r="G614" t="str">
        <f>HYPERLINK("https://www.facebook.com/westukrnews/posts/pfbid05KpJzZfAmc7DG6HMNPojmy3FDtYQBjx33JCcksAdDUDGcWNSDnn66BSqDiowXeWol?comment_id=745987375258488")</f>
        <v>https://www.facebook.com/westukrnews/posts/pfbid05KpJzZfAmc7DG6HMNPojmy3FDtYQBjx33JCcksAdDUDGcWNSDnn66BSqDiowXeWol?comment_id=745987375258488</v>
      </c>
      <c r="H614" t="s">
        <v>28</v>
      </c>
      <c r="I614" t="s">
        <v>1827</v>
      </c>
      <c r="K614" t="str">
        <f>HYPERLINK("https://www.facebook.com/100041957975147")</f>
        <v>https://www.facebook.com/100041957975147</v>
      </c>
      <c r="M614" t="s">
        <v>30</v>
      </c>
      <c r="N614" t="s">
        <v>31</v>
      </c>
      <c r="O614" t="s">
        <v>813</v>
      </c>
      <c r="P614" t="str">
        <f>HYPERLINK("https://www.facebook.com/264234810584424")</f>
        <v>https://www.facebook.com/264234810584424</v>
      </c>
      <c r="Q614">
        <v>559985</v>
      </c>
      <c r="R614" t="s">
        <v>32</v>
      </c>
      <c r="S614" t="s">
        <v>85</v>
      </c>
      <c r="T614" t="s">
        <v>34</v>
      </c>
      <c r="U614" t="s">
        <v>487</v>
      </c>
      <c r="V614" t="s">
        <v>814</v>
      </c>
    </row>
    <row r="615" spans="1:20" ht="16">
      <c r="A615" t="s">
        <v>973</v>
      </c>
      <c r="B615" t="s">
        <v>1828</v>
      </c>
      <c r="C615" t="s">
        <v>768</v>
      </c>
      <c r="D615" t="s">
        <v>1829</v>
      </c>
      <c r="E615" t="s">
        <v>74</v>
      </c>
      <c r="F615" t="s">
        <v>3</v>
      </c>
      <c r="G615" t="str">
        <f>HYPERLINK("https://www.facebook.com/groups/450700568661648/posts/2526693181062366/?comment_id=2526825637715787&amp;reply_comment_id=2526834477714903")</f>
        <v>https://www.facebook.com/groups/450700568661648/posts/2526693181062366/?comment_id=2526825637715787&amp;reply_comment_id=2526834477714903</v>
      </c>
      <c r="H615" t="s">
        <v>28</v>
      </c>
      <c r="I615" t="s">
        <v>1830</v>
      </c>
      <c r="K615" t="str">
        <f>HYPERLINK("https://www.facebook.com/100034585397868")</f>
        <v>https://www.facebook.com/100034585397868</v>
      </c>
      <c r="M615" t="s">
        <v>30</v>
      </c>
      <c r="N615" t="s">
        <v>31</v>
      </c>
      <c r="O615" t="s">
        <v>880</v>
      </c>
      <c r="P615" t="str">
        <f>HYPERLINK("https://www.facebook.com/450700568661648")</f>
        <v>https://www.facebook.com/450700568661648</v>
      </c>
      <c r="Q615">
        <v>78964</v>
      </c>
      <c r="R615" t="s">
        <v>32</v>
      </c>
      <c r="S615" t="s">
        <v>85</v>
      </c>
      <c r="T615" t="s">
        <v>34</v>
      </c>
    </row>
    <row r="616" spans="1:22" ht="16">
      <c r="A616" t="s">
        <v>973</v>
      </c>
      <c r="B616" t="s">
        <v>1831</v>
      </c>
      <c r="C616" t="s">
        <v>80</v>
      </c>
      <c r="D616" t="s">
        <v>1832</v>
      </c>
      <c r="E616" t="s">
        <v>74</v>
      </c>
      <c r="F616" t="s">
        <v>3</v>
      </c>
      <c r="G616" t="str">
        <f>HYPERLINK("https://www.facebook.com/westukrnews/posts/pfbid05KpJzZfAmc7DG6HMNPojmy3FDtYQBjx33JCcksAdDUDGcWNSDnn66BSqDiowXeWol?comment_id=25520424300991386")</f>
        <v>https://www.facebook.com/westukrnews/posts/pfbid05KpJzZfAmc7DG6HMNPojmy3FDtYQBjx33JCcksAdDUDGcWNSDnn66BSqDiowXeWol?comment_id=25520424300991386</v>
      </c>
      <c r="H616" t="s">
        <v>28</v>
      </c>
      <c r="I616" t="s">
        <v>1833</v>
      </c>
      <c r="K616" t="str">
        <f>HYPERLINK("https://www.facebook.com/100022578039608")</f>
        <v>https://www.facebook.com/100022578039608</v>
      </c>
      <c r="M616" t="s">
        <v>30</v>
      </c>
      <c r="N616" t="s">
        <v>31</v>
      </c>
      <c r="O616" t="s">
        <v>813</v>
      </c>
      <c r="P616" t="str">
        <f>HYPERLINK("https://www.facebook.com/264234810584424")</f>
        <v>https://www.facebook.com/264234810584424</v>
      </c>
      <c r="Q616">
        <v>559985</v>
      </c>
      <c r="R616" t="s">
        <v>32</v>
      </c>
      <c r="S616" t="s">
        <v>33</v>
      </c>
      <c r="T616" t="s">
        <v>34</v>
      </c>
      <c r="U616" t="s">
        <v>487</v>
      </c>
      <c r="V616" t="s">
        <v>814</v>
      </c>
    </row>
    <row r="617" spans="1:22" ht="16">
      <c r="A617" t="s">
        <v>973</v>
      </c>
      <c r="B617" t="s">
        <v>892</v>
      </c>
      <c r="C617" t="s">
        <v>768</v>
      </c>
      <c r="D617" t="s">
        <v>1834</v>
      </c>
      <c r="E617" t="s">
        <v>74</v>
      </c>
      <c r="F617" t="s">
        <v>3</v>
      </c>
      <c r="G617" t="str">
        <f>HYPERLINK("https://www.facebook.com/toyelviv/posts/pfbid02HyVHmdRrHaKvpJCV4k8sSATEQmB44tvrgpepSrJQ66Qs74jVAzPQ6qaz5ZMHUoNBl?comment_id=1425520125940374")</f>
        <v>https://www.facebook.com/toyelviv/posts/pfbid02HyVHmdRrHaKvpJCV4k8sSATEQmB44tvrgpepSrJQ66Qs74jVAzPQ6qaz5ZMHUoNBl?comment_id=1425520125940374</v>
      </c>
      <c r="H617" t="s">
        <v>28</v>
      </c>
      <c r="I617" t="s">
        <v>1835</v>
      </c>
      <c r="K617" t="str">
        <f>HYPERLINK("https://www.facebook.com/100094461662014")</f>
        <v>https://www.facebook.com/100094461662014</v>
      </c>
      <c r="M617" t="s">
        <v>40</v>
      </c>
      <c r="N617" t="s">
        <v>31</v>
      </c>
      <c r="O617" t="s">
        <v>1559</v>
      </c>
      <c r="P617" t="str">
        <f>HYPERLINK("https://www.facebook.com/320892981422193")</f>
        <v>https://www.facebook.com/320892981422193</v>
      </c>
      <c r="Q617">
        <v>293869</v>
      </c>
      <c r="R617" t="s">
        <v>32</v>
      </c>
      <c r="S617" t="s">
        <v>33</v>
      </c>
      <c r="T617" t="s">
        <v>117</v>
      </c>
      <c r="U617" t="s">
        <v>1836</v>
      </c>
      <c r="V617" t="s">
        <v>1837</v>
      </c>
    </row>
    <row r="618" spans="1:22" ht="16">
      <c r="A618" t="s">
        <v>973</v>
      </c>
      <c r="B618" t="s">
        <v>1838</v>
      </c>
      <c r="C618" t="s">
        <v>80</v>
      </c>
      <c r="D618" t="s">
        <v>1839</v>
      </c>
      <c r="E618" t="s">
        <v>74</v>
      </c>
      <c r="F618" t="s">
        <v>3</v>
      </c>
      <c r="G618" t="str">
        <f>HYPERLINK("https://www.facebook.com/permalink.php?story_fbid=pfbid0o4Et6HrEE5ifbNf1WoRrPde8qq1tk5bZyoQXFcEkcT9YM2EXc2PiazgXwJcmggJ7l&amp;id=100006975138432&amp;comment_id=803411348798737")</f>
        <v>https://www.facebook.com/permalink.php?story_fbid=pfbid0o4Et6HrEE5ifbNf1WoRrPde8qq1tk5bZyoQXFcEkcT9YM2EXc2PiazgXwJcmggJ7l&amp;id=100006975138432&amp;comment_id=803411348798737</v>
      </c>
      <c r="H618" t="s">
        <v>28</v>
      </c>
      <c r="I618" t="s">
        <v>1840</v>
      </c>
      <c r="K618" t="str">
        <f>HYPERLINK("https://www.facebook.com/100029150947430")</f>
        <v>https://www.facebook.com/100029150947430</v>
      </c>
      <c r="M618" t="s">
        <v>30</v>
      </c>
      <c r="N618" t="s">
        <v>31</v>
      </c>
      <c r="O618" t="s">
        <v>1399</v>
      </c>
      <c r="P618" t="str">
        <f>HYPERLINK("https://www.facebook.com/100006975138432")</f>
        <v>https://www.facebook.com/100006975138432</v>
      </c>
      <c r="R618" t="s">
        <v>32</v>
      </c>
      <c r="S618" t="s">
        <v>85</v>
      </c>
      <c r="T618" t="s">
        <v>34</v>
      </c>
      <c r="U618" t="s">
        <v>58</v>
      </c>
      <c r="V618" t="s">
        <v>58</v>
      </c>
    </row>
    <row r="619" spans="1:22" ht="16">
      <c r="A619" t="s">
        <v>973</v>
      </c>
      <c r="B619" t="s">
        <v>1841</v>
      </c>
      <c r="C619" t="s">
        <v>24</v>
      </c>
      <c r="D619" t="s">
        <v>254</v>
      </c>
      <c r="E619" t="s">
        <v>45</v>
      </c>
      <c r="F619" t="s">
        <v>46</v>
      </c>
      <c r="G619" t="str">
        <f>HYPERLINK("https://www.facebook.com/2386135311851619")</f>
        <v>https://www.facebook.com/2386135311851619</v>
      </c>
      <c r="H619" t="s">
        <v>28</v>
      </c>
      <c r="I619" t="s">
        <v>1608</v>
      </c>
      <c r="K619" t="str">
        <f>HYPERLINK("https://www.facebook.com/100013655207230")</f>
        <v>https://www.facebook.com/100013655207230</v>
      </c>
      <c r="M619" t="s">
        <v>30</v>
      </c>
      <c r="N619" t="s">
        <v>31</v>
      </c>
      <c r="O619" t="s">
        <v>1608</v>
      </c>
      <c r="P619" t="str">
        <f>HYPERLINK("https://www.facebook.com/100013655207230")</f>
        <v>https://www.facebook.com/100013655207230</v>
      </c>
      <c r="R619" t="s">
        <v>32</v>
      </c>
      <c r="S619" t="s">
        <v>33</v>
      </c>
      <c r="T619" t="s">
        <v>34</v>
      </c>
      <c r="U619" t="s">
        <v>371</v>
      </c>
      <c r="V619" t="s">
        <v>903</v>
      </c>
    </row>
    <row r="620" spans="1:22" ht="16">
      <c r="A620" t="s">
        <v>973</v>
      </c>
      <c r="B620" t="s">
        <v>1842</v>
      </c>
      <c r="C620" t="s">
        <v>768</v>
      </c>
      <c r="D620" t="s">
        <v>1843</v>
      </c>
      <c r="E620" t="s">
        <v>74</v>
      </c>
      <c r="F620" t="s">
        <v>3</v>
      </c>
      <c r="G620" t="str">
        <f>HYPERLINK("https://www.facebook.com/groups/450700568661648/posts/2526693181062366/?comment_id=2526825637715787")</f>
        <v>https://www.facebook.com/groups/450700568661648/posts/2526693181062366/?comment_id=2526825637715787</v>
      </c>
      <c r="H620" t="s">
        <v>28</v>
      </c>
      <c r="I620" t="s">
        <v>1820</v>
      </c>
      <c r="J620" t="s">
        <v>1821</v>
      </c>
      <c r="K620" t="str">
        <f>HYPERLINK("https://www.facebook.com/100013988912726")</f>
        <v>https://www.facebook.com/100013988912726</v>
      </c>
      <c r="M620" t="s">
        <v>30</v>
      </c>
      <c r="N620" t="s">
        <v>31</v>
      </c>
      <c r="O620" t="s">
        <v>880</v>
      </c>
      <c r="P620" t="str">
        <f>HYPERLINK("https://www.facebook.com/450700568661648")</f>
        <v>https://www.facebook.com/450700568661648</v>
      </c>
      <c r="Q620">
        <v>78964</v>
      </c>
      <c r="R620" t="s">
        <v>32</v>
      </c>
      <c r="S620" t="s">
        <v>33</v>
      </c>
      <c r="T620" t="s">
        <v>34</v>
      </c>
      <c r="U620" t="s">
        <v>309</v>
      </c>
      <c r="V620" t="s">
        <v>1822</v>
      </c>
    </row>
    <row r="621" spans="1:19" ht="16">
      <c r="A621" t="s">
        <v>973</v>
      </c>
      <c r="B621" t="s">
        <v>1844</v>
      </c>
      <c r="C621" t="s">
        <v>24</v>
      </c>
      <c r="D621" t="s">
        <v>1845</v>
      </c>
      <c r="E621" t="s">
        <v>45</v>
      </c>
      <c r="F621" t="s">
        <v>55</v>
      </c>
      <c r="G621" t="str">
        <f>HYPERLINK("https://www.facebook.com/3306175439558940")</f>
        <v>https://www.facebook.com/3306175439558940</v>
      </c>
      <c r="H621" t="s">
        <v>28</v>
      </c>
      <c r="I621" t="s">
        <v>1846</v>
      </c>
      <c r="K621" t="str">
        <f>HYPERLINK("https://www.facebook.com/100004995483326")</f>
        <v>https://www.facebook.com/100004995483326</v>
      </c>
      <c r="L621">
        <v>136</v>
      </c>
      <c r="M621" t="s">
        <v>40</v>
      </c>
      <c r="N621" t="s">
        <v>31</v>
      </c>
      <c r="O621" t="s">
        <v>1846</v>
      </c>
      <c r="P621" t="str">
        <f>HYPERLINK("https://www.facebook.com/100004995483326")</f>
        <v>https://www.facebook.com/100004995483326</v>
      </c>
      <c r="Q621">
        <v>136</v>
      </c>
      <c r="R621" t="s">
        <v>32</v>
      </c>
      <c r="S621" t="s">
        <v>33</v>
      </c>
    </row>
    <row r="622" spans="1:22" ht="16">
      <c r="A622" t="s">
        <v>973</v>
      </c>
      <c r="B622" t="s">
        <v>1847</v>
      </c>
      <c r="C622" t="s">
        <v>80</v>
      </c>
      <c r="D622" t="s">
        <v>1848</v>
      </c>
      <c r="E622" t="s">
        <v>74</v>
      </c>
      <c r="F622" t="s">
        <v>3</v>
      </c>
      <c r="G622" t="str">
        <f>HYPERLINK("https://www.facebook.com/permalink.php?story_fbid=pfbid0o4Et6HrEE5ifbNf1WoRrPde8qq1tk5bZyoQXFcEkcT9YM2EXc2PiazgXwJcmggJ7l&amp;id=100006975138432&amp;comment_id=884975421197940")</f>
        <v>https://www.facebook.com/permalink.php?story_fbid=pfbid0o4Et6HrEE5ifbNf1WoRrPde8qq1tk5bZyoQXFcEkcT9YM2EXc2PiazgXwJcmggJ7l&amp;id=100006975138432&amp;comment_id=884975421197940</v>
      </c>
      <c r="H622" t="s">
        <v>28</v>
      </c>
      <c r="I622" t="s">
        <v>1849</v>
      </c>
      <c r="J622" t="s">
        <v>1850</v>
      </c>
      <c r="K622" t="str">
        <f>HYPERLINK("https://www.facebook.com/100007045055307")</f>
        <v>https://www.facebook.com/100007045055307</v>
      </c>
      <c r="M622" t="s">
        <v>30</v>
      </c>
      <c r="N622" t="s">
        <v>31</v>
      </c>
      <c r="O622" t="s">
        <v>1399</v>
      </c>
      <c r="P622" t="str">
        <f>HYPERLINK("https://www.facebook.com/100006975138432")</f>
        <v>https://www.facebook.com/100006975138432</v>
      </c>
      <c r="R622" t="s">
        <v>32</v>
      </c>
      <c r="S622" t="s">
        <v>85</v>
      </c>
      <c r="T622" t="s">
        <v>34</v>
      </c>
      <c r="U622" t="s">
        <v>58</v>
      </c>
      <c r="V622" t="s">
        <v>58</v>
      </c>
    </row>
    <row r="623" spans="1:22" ht="16">
      <c r="A623" t="s">
        <v>973</v>
      </c>
      <c r="B623" t="s">
        <v>1847</v>
      </c>
      <c r="C623" t="s">
        <v>24</v>
      </c>
      <c r="D623" t="s">
        <v>254</v>
      </c>
      <c r="E623" t="s">
        <v>45</v>
      </c>
      <c r="F623" t="s">
        <v>46</v>
      </c>
      <c r="G623" t="str">
        <f>HYPERLINK("https://www.facebook.com/3065710840280319")</f>
        <v>https://www.facebook.com/3065710840280319</v>
      </c>
      <c r="H623" t="s">
        <v>28</v>
      </c>
      <c r="I623" t="s">
        <v>1851</v>
      </c>
      <c r="J623" t="s">
        <v>1852</v>
      </c>
      <c r="K623" t="str">
        <f>HYPERLINK("https://www.facebook.com/100005242992612")</f>
        <v>https://www.facebook.com/100005242992612</v>
      </c>
      <c r="M623" t="s">
        <v>40</v>
      </c>
      <c r="N623" t="s">
        <v>31</v>
      </c>
      <c r="O623" t="s">
        <v>1851</v>
      </c>
      <c r="P623" t="str">
        <f>HYPERLINK("https://www.facebook.com/100005242992612")</f>
        <v>https://www.facebook.com/100005242992612</v>
      </c>
      <c r="R623" t="s">
        <v>32</v>
      </c>
      <c r="S623" t="s">
        <v>33</v>
      </c>
      <c r="T623" t="s">
        <v>34</v>
      </c>
      <c r="U623" t="s">
        <v>371</v>
      </c>
      <c r="V623" t="s">
        <v>1853</v>
      </c>
    </row>
    <row r="624" spans="1:22" ht="16">
      <c r="A624" t="s">
        <v>973</v>
      </c>
      <c r="B624" t="s">
        <v>1854</v>
      </c>
      <c r="C624" t="s">
        <v>80</v>
      </c>
      <c r="D624" t="s">
        <v>1855</v>
      </c>
      <c r="E624" t="s">
        <v>74</v>
      </c>
      <c r="F624" t="s">
        <v>3</v>
      </c>
      <c r="G624" t="str">
        <f>HYPERLINK("https://www.facebook.com/westukrnews/posts/pfbid05KpJzZfAmc7DG6HMNPojmy3FDtYQBjx33JCcksAdDUDGcWNSDnn66BSqDiowXeWol?comment_id=3420108381497693")</f>
        <v>https://www.facebook.com/westukrnews/posts/pfbid05KpJzZfAmc7DG6HMNPojmy3FDtYQBjx33JCcksAdDUDGcWNSDnn66BSqDiowXeWol?comment_id=3420108381497693</v>
      </c>
      <c r="H624" t="s">
        <v>28</v>
      </c>
      <c r="I624" t="s">
        <v>1856</v>
      </c>
      <c r="K624" t="str">
        <f>HYPERLINK("https://www.facebook.com/100041848361332")</f>
        <v>https://www.facebook.com/100041848361332</v>
      </c>
      <c r="M624" t="s">
        <v>30</v>
      </c>
      <c r="N624" t="s">
        <v>31</v>
      </c>
      <c r="O624" t="s">
        <v>813</v>
      </c>
      <c r="P624" t="str">
        <f>HYPERLINK("https://www.facebook.com/264234810584424")</f>
        <v>https://www.facebook.com/264234810584424</v>
      </c>
      <c r="Q624">
        <v>559985</v>
      </c>
      <c r="R624" t="s">
        <v>32</v>
      </c>
      <c r="S624" t="s">
        <v>33</v>
      </c>
      <c r="T624" t="s">
        <v>34</v>
      </c>
      <c r="U624" t="s">
        <v>41</v>
      </c>
      <c r="V624" t="s">
        <v>42</v>
      </c>
    </row>
    <row r="625" spans="1:22" ht="16">
      <c r="A625" t="s">
        <v>973</v>
      </c>
      <c r="B625" t="s">
        <v>1854</v>
      </c>
      <c r="C625" t="s">
        <v>768</v>
      </c>
      <c r="D625" t="s">
        <v>1857</v>
      </c>
      <c r="E625" t="s">
        <v>74</v>
      </c>
      <c r="F625" t="s">
        <v>3</v>
      </c>
      <c r="G625" t="str">
        <f>HYPERLINK("https://www.facebook.com/toyelviv/posts/pfbid02HyVHmdRrHaKvpJCV4k8sSATEQmB44tvrgpepSrJQ66Qs74jVAzPQ6qaz5ZMHUoNBl?comment_id=1692067548444587")</f>
        <v>https://www.facebook.com/toyelviv/posts/pfbid02HyVHmdRrHaKvpJCV4k8sSATEQmB44tvrgpepSrJQ66Qs74jVAzPQ6qaz5ZMHUoNBl?comment_id=1692067548444587</v>
      </c>
      <c r="H625" t="s">
        <v>28</v>
      </c>
      <c r="I625" t="s">
        <v>1858</v>
      </c>
      <c r="J625" t="s">
        <v>1859</v>
      </c>
      <c r="K625" t="str">
        <f>HYPERLINK("https://www.facebook.com/100008988978085")</f>
        <v>https://www.facebook.com/100008988978085</v>
      </c>
      <c r="M625" t="s">
        <v>40</v>
      </c>
      <c r="N625" t="s">
        <v>31</v>
      </c>
      <c r="O625" t="s">
        <v>1559</v>
      </c>
      <c r="P625" t="str">
        <f>HYPERLINK("https://www.facebook.com/320892981422193")</f>
        <v>https://www.facebook.com/320892981422193</v>
      </c>
      <c r="Q625">
        <v>293869</v>
      </c>
      <c r="R625" t="s">
        <v>32</v>
      </c>
      <c r="S625" t="s">
        <v>33</v>
      </c>
      <c r="T625" t="s">
        <v>34</v>
      </c>
      <c r="U625" t="s">
        <v>41</v>
      </c>
      <c r="V625" t="s">
        <v>1860</v>
      </c>
    </row>
    <row r="626" spans="1:22" ht="16">
      <c r="A626" t="s">
        <v>973</v>
      </c>
      <c r="B626" t="s">
        <v>1861</v>
      </c>
      <c r="C626" t="s">
        <v>24</v>
      </c>
      <c r="D626" t="s">
        <v>44</v>
      </c>
      <c r="E626" t="s">
        <v>45</v>
      </c>
      <c r="F626" t="s">
        <v>46</v>
      </c>
      <c r="G626" t="str">
        <f>HYPERLINK("https://www.facebook.com/931420749418864")</f>
        <v>https://www.facebook.com/931420749418864</v>
      </c>
      <c r="H626" t="s">
        <v>28</v>
      </c>
      <c r="I626" t="s">
        <v>1862</v>
      </c>
      <c r="K626" t="str">
        <f>HYPERLINK("https://www.facebook.com/100076528428941")</f>
        <v>https://www.facebook.com/100076528428941</v>
      </c>
      <c r="M626" t="s">
        <v>30</v>
      </c>
      <c r="N626" t="s">
        <v>31</v>
      </c>
      <c r="O626" t="s">
        <v>1862</v>
      </c>
      <c r="P626" t="str">
        <f>HYPERLINK("https://www.facebook.com/100076528428941")</f>
        <v>https://www.facebook.com/100076528428941</v>
      </c>
      <c r="R626" t="s">
        <v>32</v>
      </c>
      <c r="S626" t="s">
        <v>33</v>
      </c>
      <c r="T626" t="s">
        <v>34</v>
      </c>
      <c r="U626" t="s">
        <v>265</v>
      </c>
      <c r="V626" t="s">
        <v>1863</v>
      </c>
    </row>
    <row r="627" spans="1:19" ht="16">
      <c r="A627" t="s">
        <v>973</v>
      </c>
      <c r="B627" t="s">
        <v>1864</v>
      </c>
      <c r="C627" t="s">
        <v>24</v>
      </c>
      <c r="D627" t="s">
        <v>824</v>
      </c>
      <c r="E627" t="s">
        <v>45</v>
      </c>
      <c r="F627" t="s">
        <v>46</v>
      </c>
      <c r="G627" t="str">
        <f>HYPERLINK("https://www.facebook.com/1930914667520541")</f>
        <v>https://www.facebook.com/1930914667520541</v>
      </c>
      <c r="H627" t="s">
        <v>28</v>
      </c>
      <c r="I627" t="s">
        <v>152</v>
      </c>
      <c r="K627" t="str">
        <f>HYPERLINK("https://www.facebook.com/100018060784247")</f>
        <v>https://www.facebook.com/100018060784247</v>
      </c>
      <c r="M627" t="s">
        <v>30</v>
      </c>
      <c r="N627" t="s">
        <v>31</v>
      </c>
      <c r="O627" t="s">
        <v>152</v>
      </c>
      <c r="P627" t="str">
        <f>HYPERLINK("https://www.facebook.com/100018060784247")</f>
        <v>https://www.facebook.com/100018060784247</v>
      </c>
      <c r="R627" t="s">
        <v>32</v>
      </c>
      <c r="S627" t="s">
        <v>33</v>
      </c>
    </row>
    <row r="628" spans="1:22" ht="16">
      <c r="A628" t="s">
        <v>973</v>
      </c>
      <c r="B628" t="s">
        <v>1865</v>
      </c>
      <c r="C628" t="s">
        <v>80</v>
      </c>
      <c r="D628" t="s">
        <v>1866</v>
      </c>
      <c r="E628" t="s">
        <v>74</v>
      </c>
      <c r="F628" t="s">
        <v>3</v>
      </c>
      <c r="G628" t="str">
        <f>HYPERLINK("https://www.facebook.com/permalink.php?story_fbid=pfbid0o4Et6HrEE5ifbNf1WoRrPde8qq1tk5bZyoQXFcEkcT9YM2EXc2PiazgXwJcmggJ7l&amp;id=100006975138432&amp;comment_id=1450962410041441")</f>
        <v>https://www.facebook.com/permalink.php?story_fbid=pfbid0o4Et6HrEE5ifbNf1WoRrPde8qq1tk5bZyoQXFcEkcT9YM2EXc2PiazgXwJcmggJ7l&amp;id=100006975138432&amp;comment_id=1450962410041441</v>
      </c>
      <c r="H628" t="s">
        <v>28</v>
      </c>
      <c r="I628" t="s">
        <v>1867</v>
      </c>
      <c r="K628" t="str">
        <f>HYPERLINK("https://www.facebook.com/100053162131091")</f>
        <v>https://www.facebook.com/100053162131091</v>
      </c>
      <c r="M628" t="s">
        <v>30</v>
      </c>
      <c r="N628" t="s">
        <v>31</v>
      </c>
      <c r="O628" t="s">
        <v>1399</v>
      </c>
      <c r="P628" t="str">
        <f>HYPERLINK("https://www.facebook.com/100006975138432")</f>
        <v>https://www.facebook.com/100006975138432</v>
      </c>
      <c r="R628" t="s">
        <v>32</v>
      </c>
      <c r="S628" t="s">
        <v>188</v>
      </c>
      <c r="T628" t="s">
        <v>34</v>
      </c>
      <c r="U628" t="s">
        <v>58</v>
      </c>
      <c r="V628" t="s">
        <v>58</v>
      </c>
    </row>
    <row r="629" spans="1:22" ht="16">
      <c r="A629" t="s">
        <v>973</v>
      </c>
      <c r="B629" t="s">
        <v>1868</v>
      </c>
      <c r="C629" t="s">
        <v>80</v>
      </c>
      <c r="D629" t="s">
        <v>1869</v>
      </c>
      <c r="E629" t="s">
        <v>74</v>
      </c>
      <c r="F629" t="s">
        <v>3</v>
      </c>
      <c r="G629" t="str">
        <f>HYPERLINK("https://www.facebook.com/permalink.php?story_fbid=pfbid0o4Et6HrEE5ifbNf1WoRrPde8qq1tk5bZyoQXFcEkcT9YM2EXc2PiazgXwJcmggJ7l&amp;id=100006975138432&amp;comment_id=1492626805610337")</f>
        <v>https://www.facebook.com/permalink.php?story_fbid=pfbid0o4Et6HrEE5ifbNf1WoRrPde8qq1tk5bZyoQXFcEkcT9YM2EXc2PiazgXwJcmggJ7l&amp;id=100006975138432&amp;comment_id=1492626805610337</v>
      </c>
      <c r="H629" t="s">
        <v>28</v>
      </c>
      <c r="I629" t="s">
        <v>1870</v>
      </c>
      <c r="K629" t="str">
        <f>HYPERLINK("https://www.facebook.com/100060941147008")</f>
        <v>https://www.facebook.com/100060941147008</v>
      </c>
      <c r="M629" t="s">
        <v>30</v>
      </c>
      <c r="N629" t="s">
        <v>31</v>
      </c>
      <c r="O629" t="s">
        <v>1399</v>
      </c>
      <c r="P629" t="str">
        <f>HYPERLINK("https://www.facebook.com/100006975138432")</f>
        <v>https://www.facebook.com/100006975138432</v>
      </c>
      <c r="R629" t="s">
        <v>32</v>
      </c>
      <c r="S629" t="s">
        <v>33</v>
      </c>
      <c r="T629" t="s">
        <v>34</v>
      </c>
      <c r="U629" t="s">
        <v>58</v>
      </c>
      <c r="V629" t="s">
        <v>58</v>
      </c>
    </row>
    <row r="630" spans="1:22" ht="16">
      <c r="A630" t="s">
        <v>973</v>
      </c>
      <c r="B630" t="s">
        <v>1871</v>
      </c>
      <c r="C630" t="s">
        <v>24</v>
      </c>
      <c r="D630" t="s">
        <v>44</v>
      </c>
      <c r="E630" t="s">
        <v>45</v>
      </c>
      <c r="F630" t="s">
        <v>46</v>
      </c>
      <c r="G630" t="str">
        <f>HYPERLINK("https://www.facebook.com/4386486708291704")</f>
        <v>https://www.facebook.com/4386486708291704</v>
      </c>
      <c r="H630" t="s">
        <v>28</v>
      </c>
      <c r="I630" t="s">
        <v>1872</v>
      </c>
      <c r="K630" t="str">
        <f>HYPERLINK("https://www.facebook.com/100007912544776")</f>
        <v>https://www.facebook.com/100007912544776</v>
      </c>
      <c r="M630" t="s">
        <v>40</v>
      </c>
      <c r="N630" t="s">
        <v>31</v>
      </c>
      <c r="O630" t="s">
        <v>1872</v>
      </c>
      <c r="P630" t="str">
        <f>HYPERLINK("https://www.facebook.com/100007912544776")</f>
        <v>https://www.facebook.com/100007912544776</v>
      </c>
      <c r="R630" t="s">
        <v>32</v>
      </c>
      <c r="S630" t="s">
        <v>33</v>
      </c>
      <c r="T630" t="s">
        <v>34</v>
      </c>
      <c r="U630" t="s">
        <v>41</v>
      </c>
      <c r="V630" t="s">
        <v>42</v>
      </c>
    </row>
    <row r="631" spans="1:22" ht="16">
      <c r="A631" t="s">
        <v>973</v>
      </c>
      <c r="B631" t="s">
        <v>1871</v>
      </c>
      <c r="C631" t="s">
        <v>80</v>
      </c>
      <c r="D631" t="s">
        <v>1873</v>
      </c>
      <c r="E631" t="s">
        <v>74</v>
      </c>
      <c r="F631" t="s">
        <v>3</v>
      </c>
      <c r="G631" t="str">
        <f>HYPERLINK("https://www.facebook.com/westukrnews/posts/pfbid05KpJzZfAmc7DG6HMNPojmy3FDtYQBjx33JCcksAdDUDGcWNSDnn66BSqDiowXeWol?comment_id=1985975855658971")</f>
        <v>https://www.facebook.com/westukrnews/posts/pfbid05KpJzZfAmc7DG6HMNPojmy3FDtYQBjx33JCcksAdDUDGcWNSDnn66BSqDiowXeWol?comment_id=1985975855658971</v>
      </c>
      <c r="H631" t="s">
        <v>28</v>
      </c>
      <c r="I631" t="s">
        <v>1874</v>
      </c>
      <c r="K631" t="str">
        <f>HYPERLINK("https://www.facebook.com/100025174963450")</f>
        <v>https://www.facebook.com/100025174963450</v>
      </c>
      <c r="M631" t="s">
        <v>30</v>
      </c>
      <c r="N631" t="s">
        <v>31</v>
      </c>
      <c r="O631" t="s">
        <v>813</v>
      </c>
      <c r="P631" t="str">
        <f>HYPERLINK("https://www.facebook.com/264234810584424")</f>
        <v>https://www.facebook.com/264234810584424</v>
      </c>
      <c r="Q631">
        <v>559985</v>
      </c>
      <c r="R631" t="s">
        <v>32</v>
      </c>
      <c r="S631" t="s">
        <v>85</v>
      </c>
      <c r="T631" t="s">
        <v>34</v>
      </c>
      <c r="U631" t="s">
        <v>487</v>
      </c>
      <c r="V631" t="s">
        <v>814</v>
      </c>
    </row>
    <row r="632" spans="1:19" ht="16">
      <c r="A632" t="s">
        <v>973</v>
      </c>
      <c r="B632" t="s">
        <v>1875</v>
      </c>
      <c r="C632" t="s">
        <v>24</v>
      </c>
      <c r="D632" t="s">
        <v>238</v>
      </c>
      <c r="E632" t="s">
        <v>45</v>
      </c>
      <c r="F632" t="s">
        <v>3</v>
      </c>
      <c r="G632" t="str">
        <f>HYPERLINK("https://www.facebook.com/1433071504977379")</f>
        <v>https://www.facebook.com/1433071504977379</v>
      </c>
      <c r="H632" t="s">
        <v>28</v>
      </c>
      <c r="I632" t="s">
        <v>1876</v>
      </c>
      <c r="K632" t="str">
        <f>HYPERLINK("https://www.facebook.com/100048236284062")</f>
        <v>https://www.facebook.com/100048236284062</v>
      </c>
      <c r="M632" t="s">
        <v>40</v>
      </c>
      <c r="N632" t="s">
        <v>31</v>
      </c>
      <c r="O632" t="s">
        <v>1876</v>
      </c>
      <c r="P632" t="str">
        <f>HYPERLINK("https://www.facebook.com/100048236284062")</f>
        <v>https://www.facebook.com/100048236284062</v>
      </c>
      <c r="R632" t="s">
        <v>32</v>
      </c>
      <c r="S632" t="s">
        <v>33</v>
      </c>
    </row>
    <row r="633" spans="1:22" ht="16">
      <c r="A633" t="s">
        <v>973</v>
      </c>
      <c r="B633" t="s">
        <v>1877</v>
      </c>
      <c r="C633" t="s">
        <v>80</v>
      </c>
      <c r="D633" t="s">
        <v>1878</v>
      </c>
      <c r="E633" t="s">
        <v>74</v>
      </c>
      <c r="F633" t="s">
        <v>3</v>
      </c>
      <c r="G633" t="str">
        <f>HYPERLINK("https://www.facebook.com/permalink.php?story_fbid=pfbid0o4Et6HrEE5ifbNf1WoRrPde8qq1tk5bZyoQXFcEkcT9YM2EXc2PiazgXwJcmggJ7l&amp;id=100006975138432&amp;comment_id=2276654772858092")</f>
        <v>https://www.facebook.com/permalink.php?story_fbid=pfbid0o4Et6HrEE5ifbNf1WoRrPde8qq1tk5bZyoQXFcEkcT9YM2EXc2PiazgXwJcmggJ7l&amp;id=100006975138432&amp;comment_id=2276654772858092</v>
      </c>
      <c r="H633" t="s">
        <v>28</v>
      </c>
      <c r="I633" t="s">
        <v>1879</v>
      </c>
      <c r="K633" t="str">
        <f>HYPERLINK("https://www.facebook.com/100041523152807")</f>
        <v>https://www.facebook.com/100041523152807</v>
      </c>
      <c r="M633" t="s">
        <v>40</v>
      </c>
      <c r="N633" t="s">
        <v>31</v>
      </c>
      <c r="O633" t="s">
        <v>1399</v>
      </c>
      <c r="P633" t="str">
        <f>HYPERLINK("https://www.facebook.com/100006975138432")</f>
        <v>https://www.facebook.com/100006975138432</v>
      </c>
      <c r="R633" t="s">
        <v>32</v>
      </c>
      <c r="S633" t="s">
        <v>33</v>
      </c>
      <c r="T633" t="s">
        <v>34</v>
      </c>
      <c r="U633" t="s">
        <v>58</v>
      </c>
      <c r="V633" t="s">
        <v>58</v>
      </c>
    </row>
    <row r="634" spans="1:22" ht="16">
      <c r="A634" t="s">
        <v>973</v>
      </c>
      <c r="B634" t="s">
        <v>1877</v>
      </c>
      <c r="C634" t="s">
        <v>24</v>
      </c>
      <c r="D634" t="s">
        <v>254</v>
      </c>
      <c r="E634" t="s">
        <v>45</v>
      </c>
      <c r="F634" t="s">
        <v>46</v>
      </c>
      <c r="G634" t="str">
        <f>HYPERLINK("https://www.facebook.com/3100755923645678")</f>
        <v>https://www.facebook.com/3100755923645678</v>
      </c>
      <c r="H634" t="s">
        <v>28</v>
      </c>
      <c r="I634" t="s">
        <v>1880</v>
      </c>
      <c r="J634" t="s">
        <v>1881</v>
      </c>
      <c r="K634" t="str">
        <f>HYPERLINK("https://www.facebook.com/100011339036252")</f>
        <v>https://www.facebook.com/100011339036252</v>
      </c>
      <c r="M634" t="s">
        <v>30</v>
      </c>
      <c r="N634" t="s">
        <v>31</v>
      </c>
      <c r="O634" t="s">
        <v>1880</v>
      </c>
      <c r="P634" t="str">
        <f>HYPERLINK("https://www.facebook.com/100011339036252")</f>
        <v>https://www.facebook.com/100011339036252</v>
      </c>
      <c r="R634" t="s">
        <v>32</v>
      </c>
      <c r="S634" t="s">
        <v>33</v>
      </c>
      <c r="T634" t="s">
        <v>34</v>
      </c>
      <c r="U634" t="s">
        <v>167</v>
      </c>
      <c r="V634" t="s">
        <v>189</v>
      </c>
    </row>
    <row r="635" spans="1:20" ht="16">
      <c r="A635" t="s">
        <v>973</v>
      </c>
      <c r="B635" t="s">
        <v>1882</v>
      </c>
      <c r="C635" t="s">
        <v>768</v>
      </c>
      <c r="D635" t="s">
        <v>1883</v>
      </c>
      <c r="E635" t="s">
        <v>74</v>
      </c>
      <c r="F635" t="s">
        <v>3</v>
      </c>
      <c r="G635" t="str">
        <f>HYPERLINK("https://www.facebook.com/groups/450700568661648/posts/2526693181062366/?comment_id=2526800927718258")</f>
        <v>https://www.facebook.com/groups/450700568661648/posts/2526693181062366/?comment_id=2526800927718258</v>
      </c>
      <c r="H635" t="s">
        <v>28</v>
      </c>
      <c r="I635" t="s">
        <v>1884</v>
      </c>
      <c r="K635" t="str">
        <f>HYPERLINK("https://www.facebook.com/100024607500711")</f>
        <v>https://www.facebook.com/100024607500711</v>
      </c>
      <c r="L635">
        <v>7</v>
      </c>
      <c r="M635" t="s">
        <v>40</v>
      </c>
      <c r="N635" t="s">
        <v>31</v>
      </c>
      <c r="O635" t="s">
        <v>880</v>
      </c>
      <c r="P635" t="str">
        <f>HYPERLINK("https://www.facebook.com/450700568661648")</f>
        <v>https://www.facebook.com/450700568661648</v>
      </c>
      <c r="Q635">
        <v>78964</v>
      </c>
      <c r="R635" t="s">
        <v>32</v>
      </c>
      <c r="S635" t="s">
        <v>85</v>
      </c>
      <c r="T635" t="s">
        <v>34</v>
      </c>
    </row>
    <row r="636" spans="1:22" ht="16">
      <c r="A636" t="s">
        <v>973</v>
      </c>
      <c r="B636" t="s">
        <v>901</v>
      </c>
      <c r="C636" t="s">
        <v>80</v>
      </c>
      <c r="D636" t="s">
        <v>1885</v>
      </c>
      <c r="E636" t="s">
        <v>74</v>
      </c>
      <c r="F636" t="s">
        <v>3</v>
      </c>
      <c r="G636" t="str">
        <f>HYPERLINK("https://www.facebook.com/westukrnews/posts/pfbid05KpJzZfAmc7DG6HMNPojmy3FDtYQBjx33JCcksAdDUDGcWNSDnn66BSqDiowXeWol?comment_id=941837838799459")</f>
        <v>https://www.facebook.com/westukrnews/posts/pfbid05KpJzZfAmc7DG6HMNPojmy3FDtYQBjx33JCcksAdDUDGcWNSDnn66BSqDiowXeWol?comment_id=941837838799459</v>
      </c>
      <c r="H636" t="s">
        <v>28</v>
      </c>
      <c r="I636" t="s">
        <v>1886</v>
      </c>
      <c r="K636" t="str">
        <f>HYPERLINK("https://www.facebook.com/100011280939948")</f>
        <v>https://www.facebook.com/100011280939948</v>
      </c>
      <c r="L636">
        <v>64</v>
      </c>
      <c r="M636" t="s">
        <v>40</v>
      </c>
      <c r="N636" t="s">
        <v>31</v>
      </c>
      <c r="O636" t="s">
        <v>813</v>
      </c>
      <c r="P636" t="str">
        <f>HYPERLINK("https://www.facebook.com/264234810584424")</f>
        <v>https://www.facebook.com/264234810584424</v>
      </c>
      <c r="Q636">
        <v>559985</v>
      </c>
      <c r="R636" t="s">
        <v>32</v>
      </c>
      <c r="S636" t="s">
        <v>85</v>
      </c>
      <c r="T636" t="s">
        <v>34</v>
      </c>
      <c r="U636" t="s">
        <v>487</v>
      </c>
      <c r="V636" t="s">
        <v>814</v>
      </c>
    </row>
    <row r="637" spans="1:22" ht="16">
      <c r="A637" t="s">
        <v>973</v>
      </c>
      <c r="B637" t="s">
        <v>1887</v>
      </c>
      <c r="C637" t="s">
        <v>80</v>
      </c>
      <c r="D637" t="s">
        <v>1888</v>
      </c>
      <c r="E637" t="s">
        <v>74</v>
      </c>
      <c r="F637" t="s">
        <v>3</v>
      </c>
      <c r="G637" t="str">
        <f>HYPERLINK("https://www.facebook.com/groups/352776285602168/posts/1612203866326064/?comment_id=1612210346325416")</f>
        <v>https://www.facebook.com/groups/352776285602168/posts/1612203866326064/?comment_id=1612210346325416</v>
      </c>
      <c r="H637" t="s">
        <v>28</v>
      </c>
      <c r="I637" t="s">
        <v>1889</v>
      </c>
      <c r="J637" t="s">
        <v>1890</v>
      </c>
      <c r="K637" t="str">
        <f>HYPERLINK("https://www.facebook.com/pfbid0SQCqHnmUAxdGWrc6T7y6S6nD8moKejmc2ud1bymgzmBCzk3cAaWsZAZg3Ma28ps5l")</f>
        <v>https://www.facebook.com/pfbid0SQCqHnmUAxdGWrc6T7y6S6nD8moKejmc2ud1bymgzmBCzk3cAaWsZAZg3Ma28ps5l</v>
      </c>
      <c r="M637" t="s">
        <v>40</v>
      </c>
      <c r="N637" t="s">
        <v>31</v>
      </c>
      <c r="O637" t="s">
        <v>1891</v>
      </c>
      <c r="P637" t="str">
        <f>HYPERLINK("https://www.facebook.com/352776285602168")</f>
        <v>https://www.facebook.com/352776285602168</v>
      </c>
      <c r="Q637">
        <v>1436</v>
      </c>
      <c r="R637" t="s">
        <v>32</v>
      </c>
      <c r="S637" t="s">
        <v>57</v>
      </c>
      <c r="T637" t="s">
        <v>34</v>
      </c>
      <c r="U637" t="s">
        <v>235</v>
      </c>
      <c r="V637" t="s">
        <v>1892</v>
      </c>
    </row>
    <row r="638" spans="1:22" ht="16">
      <c r="A638" t="s">
        <v>973</v>
      </c>
      <c r="B638" t="s">
        <v>1893</v>
      </c>
      <c r="C638" t="s">
        <v>24</v>
      </c>
      <c r="D638" t="s">
        <v>44</v>
      </c>
      <c r="E638" t="s">
        <v>45</v>
      </c>
      <c r="F638" t="s">
        <v>46</v>
      </c>
      <c r="G638" t="str">
        <f>HYPERLINK("https://www.facebook.com/2156856261817418")</f>
        <v>https://www.facebook.com/2156856261817418</v>
      </c>
      <c r="H638" t="s">
        <v>28</v>
      </c>
      <c r="I638" t="s">
        <v>1894</v>
      </c>
      <c r="J638" t="s">
        <v>1895</v>
      </c>
      <c r="K638" t="str">
        <f>HYPERLINK("https://www.facebook.com/100024791943430")</f>
        <v>https://www.facebook.com/100024791943430</v>
      </c>
      <c r="M638" t="s">
        <v>30</v>
      </c>
      <c r="N638" t="s">
        <v>31</v>
      </c>
      <c r="O638" t="s">
        <v>1894</v>
      </c>
      <c r="P638" t="str">
        <f>HYPERLINK("https://www.facebook.com/100024791943430")</f>
        <v>https://www.facebook.com/100024791943430</v>
      </c>
      <c r="R638" t="s">
        <v>32</v>
      </c>
      <c r="S638" t="s">
        <v>33</v>
      </c>
      <c r="T638" t="s">
        <v>34</v>
      </c>
      <c r="U638" t="s">
        <v>58</v>
      </c>
      <c r="V638" t="s">
        <v>58</v>
      </c>
    </row>
    <row r="639" spans="1:22" ht="16">
      <c r="A639" t="s">
        <v>973</v>
      </c>
      <c r="B639" t="s">
        <v>1896</v>
      </c>
      <c r="C639" t="s">
        <v>80</v>
      </c>
      <c r="D639" t="s">
        <v>1897</v>
      </c>
      <c r="E639" t="s">
        <v>74</v>
      </c>
      <c r="F639" t="s">
        <v>3</v>
      </c>
      <c r="G639" t="str">
        <f>HYPERLINK("https://www.facebook.com/westukrnews/posts/pfbid05KpJzZfAmc7DG6HMNPojmy3FDtYQBjx33JCcksAdDUDGcWNSDnn66BSqDiowXeWol?comment_id=1394396832373178")</f>
        <v>https://www.facebook.com/westukrnews/posts/pfbid05KpJzZfAmc7DG6HMNPojmy3FDtYQBjx33JCcksAdDUDGcWNSDnn66BSqDiowXeWol?comment_id=1394396832373178</v>
      </c>
      <c r="H639" t="s">
        <v>28</v>
      </c>
      <c r="I639" t="s">
        <v>1898</v>
      </c>
      <c r="K639" t="str">
        <f>HYPERLINK("https://www.facebook.com/100085812426639")</f>
        <v>https://www.facebook.com/100085812426639</v>
      </c>
      <c r="M639" t="s">
        <v>30</v>
      </c>
      <c r="N639" t="s">
        <v>31</v>
      </c>
      <c r="O639" t="s">
        <v>813</v>
      </c>
      <c r="P639" t="str">
        <f>HYPERLINK("https://www.facebook.com/264234810584424")</f>
        <v>https://www.facebook.com/264234810584424</v>
      </c>
      <c r="Q639">
        <v>559985</v>
      </c>
      <c r="R639" t="s">
        <v>32</v>
      </c>
      <c r="S639" t="s">
        <v>1899</v>
      </c>
      <c r="T639" t="s">
        <v>34</v>
      </c>
      <c r="U639" t="s">
        <v>487</v>
      </c>
      <c r="V639" t="s">
        <v>814</v>
      </c>
    </row>
    <row r="640" spans="1:22" ht="16">
      <c r="A640" t="s">
        <v>973</v>
      </c>
      <c r="B640" t="s">
        <v>1896</v>
      </c>
      <c r="C640" t="s">
        <v>24</v>
      </c>
      <c r="D640" t="s">
        <v>254</v>
      </c>
      <c r="E640" t="s">
        <v>26</v>
      </c>
      <c r="F640" t="s">
        <v>102</v>
      </c>
      <c r="G640" t="str">
        <f>HYPERLINK("https://www.facebook.com/1612203866326064")</f>
        <v>https://www.facebook.com/1612203866326064</v>
      </c>
      <c r="H640" t="s">
        <v>28</v>
      </c>
      <c r="I640" t="s">
        <v>1900</v>
      </c>
      <c r="K640" t="str">
        <f>HYPERLINK("https://www.facebook.com/100022744941700")</f>
        <v>https://www.facebook.com/100022744941700</v>
      </c>
      <c r="M640" t="s">
        <v>30</v>
      </c>
      <c r="N640" t="s">
        <v>31</v>
      </c>
      <c r="O640" t="s">
        <v>1891</v>
      </c>
      <c r="P640" t="str">
        <f>HYPERLINK("https://www.facebook.com/352776285602168")</f>
        <v>https://www.facebook.com/352776285602168</v>
      </c>
      <c r="Q640">
        <v>1436</v>
      </c>
      <c r="R640" t="s">
        <v>32</v>
      </c>
      <c r="S640" t="s">
        <v>33</v>
      </c>
      <c r="T640" t="s">
        <v>34</v>
      </c>
      <c r="U640" t="s">
        <v>173</v>
      </c>
      <c r="V640" t="s">
        <v>1901</v>
      </c>
    </row>
    <row r="641" spans="1:22" ht="16">
      <c r="A641" t="s">
        <v>973</v>
      </c>
      <c r="B641" t="s">
        <v>1902</v>
      </c>
      <c r="C641" t="s">
        <v>80</v>
      </c>
      <c r="D641" t="s">
        <v>1903</v>
      </c>
      <c r="E641" t="s">
        <v>74</v>
      </c>
      <c r="F641" t="s">
        <v>3</v>
      </c>
      <c r="G641" t="str">
        <f>HYPERLINK("https://www.facebook.com/permalink.php?story_fbid=pfbid0o4Et6HrEE5ifbNf1WoRrPde8qq1tk5bZyoQXFcEkcT9YM2EXc2PiazgXwJcmggJ7l&amp;id=100006975138432&amp;comment_id=1225602486437542")</f>
        <v>https://www.facebook.com/permalink.php?story_fbid=pfbid0o4Et6HrEE5ifbNf1WoRrPde8qq1tk5bZyoQXFcEkcT9YM2EXc2PiazgXwJcmggJ7l&amp;id=100006975138432&amp;comment_id=1225602486437542</v>
      </c>
      <c r="H641" t="s">
        <v>28</v>
      </c>
      <c r="I641" t="s">
        <v>1775</v>
      </c>
      <c r="K641" t="str">
        <f>HYPERLINK("https://www.facebook.com/100039661094465")</f>
        <v>https://www.facebook.com/100039661094465</v>
      </c>
      <c r="L641">
        <v>77</v>
      </c>
      <c r="M641" t="s">
        <v>40</v>
      </c>
      <c r="N641" t="s">
        <v>31</v>
      </c>
      <c r="O641" t="s">
        <v>1399</v>
      </c>
      <c r="P641" t="str">
        <f>HYPERLINK("https://www.facebook.com/100006975138432")</f>
        <v>https://www.facebook.com/100006975138432</v>
      </c>
      <c r="R641" t="s">
        <v>32</v>
      </c>
      <c r="S641" t="s">
        <v>33</v>
      </c>
      <c r="T641" t="s">
        <v>86</v>
      </c>
      <c r="U641" t="s">
        <v>1904</v>
      </c>
      <c r="V641" t="s">
        <v>1905</v>
      </c>
    </row>
    <row r="642" spans="1:19" ht="16">
      <c r="A642" t="s">
        <v>973</v>
      </c>
      <c r="B642" t="s">
        <v>1906</v>
      </c>
      <c r="C642" t="s">
        <v>80</v>
      </c>
      <c r="D642" t="s">
        <v>1907</v>
      </c>
      <c r="E642" t="s">
        <v>74</v>
      </c>
      <c r="F642" t="s">
        <v>3</v>
      </c>
      <c r="G642" t="str">
        <f>HYPERLINK("https://www.facebook.com/permalink.php?story_fbid=pfbid0o4Et6HrEE5ifbNf1WoRrPde8qq1tk5bZyoQXFcEkcT9YM2EXc2PiazgXwJcmggJ7l&amp;id=100006975138432&amp;comment_id=26231428026490196")</f>
        <v>https://www.facebook.com/permalink.php?story_fbid=pfbid0o4Et6HrEE5ifbNf1WoRrPde8qq1tk5bZyoQXFcEkcT9YM2EXc2PiazgXwJcmggJ7l&amp;id=100006975138432&amp;comment_id=26231428026490196</v>
      </c>
      <c r="H642" t="s">
        <v>28</v>
      </c>
      <c r="I642" t="s">
        <v>1908</v>
      </c>
      <c r="K642" t="str">
        <f>HYPERLINK("https://www.facebook.com/100042734113279")</f>
        <v>https://www.facebook.com/100042734113279</v>
      </c>
      <c r="M642" t="s">
        <v>40</v>
      </c>
      <c r="N642" t="s">
        <v>31</v>
      </c>
      <c r="O642" t="s">
        <v>1399</v>
      </c>
      <c r="P642" t="str">
        <f>HYPERLINK("https://www.facebook.com/100006975138432")</f>
        <v>https://www.facebook.com/100006975138432</v>
      </c>
      <c r="R642" t="s">
        <v>32</v>
      </c>
      <c r="S642" t="s">
        <v>85</v>
      </c>
    </row>
    <row r="643" spans="1:19" ht="16">
      <c r="A643" t="s">
        <v>973</v>
      </c>
      <c r="B643" t="s">
        <v>1909</v>
      </c>
      <c r="C643" t="s">
        <v>24</v>
      </c>
      <c r="D643" t="s">
        <v>1381</v>
      </c>
      <c r="E643" t="s">
        <v>45</v>
      </c>
      <c r="F643" t="s">
        <v>55</v>
      </c>
      <c r="G643" t="str">
        <f>HYPERLINK("https://www.facebook.com/1482016493510937")</f>
        <v>https://www.facebook.com/1482016493510937</v>
      </c>
      <c r="H643" t="s">
        <v>28</v>
      </c>
      <c r="I643" t="s">
        <v>1910</v>
      </c>
      <c r="K643" t="str">
        <f>HYPERLINK("https://www.facebook.com/100051078008047")</f>
        <v>https://www.facebook.com/100051078008047</v>
      </c>
      <c r="M643" t="s">
        <v>30</v>
      </c>
      <c r="N643" t="s">
        <v>31</v>
      </c>
      <c r="O643" t="s">
        <v>1910</v>
      </c>
      <c r="P643" t="str">
        <f>HYPERLINK("https://www.facebook.com/100051078008047")</f>
        <v>https://www.facebook.com/100051078008047</v>
      </c>
      <c r="R643" t="s">
        <v>32</v>
      </c>
      <c r="S643" t="s">
        <v>33</v>
      </c>
    </row>
    <row r="644" spans="1:22" ht="16">
      <c r="A644" t="s">
        <v>973</v>
      </c>
      <c r="B644" t="s">
        <v>1911</v>
      </c>
      <c r="C644" t="s">
        <v>80</v>
      </c>
      <c r="D644" t="s">
        <v>1912</v>
      </c>
      <c r="E644" t="s">
        <v>74</v>
      </c>
      <c r="F644" t="s">
        <v>3</v>
      </c>
      <c r="G644" t="str">
        <f>HYPERLINK("https://www.facebook.com/westukrnews/posts/pfbid05KpJzZfAmc7DG6HMNPojmy3FDtYQBjx33JCcksAdDUDGcWNSDnn66BSqDiowXeWol?comment_id=1859095988108013")</f>
        <v>https://www.facebook.com/westukrnews/posts/pfbid05KpJzZfAmc7DG6HMNPojmy3FDtYQBjx33JCcksAdDUDGcWNSDnn66BSqDiowXeWol?comment_id=1859095988108013</v>
      </c>
      <c r="H644" t="s">
        <v>28</v>
      </c>
      <c r="I644" t="s">
        <v>1913</v>
      </c>
      <c r="K644" t="str">
        <f>HYPERLINK("https://www.facebook.com/100024139680394")</f>
        <v>https://www.facebook.com/100024139680394</v>
      </c>
      <c r="M644" t="s">
        <v>40</v>
      </c>
      <c r="N644" t="s">
        <v>31</v>
      </c>
      <c r="O644" t="s">
        <v>813</v>
      </c>
      <c r="P644" t="str">
        <f>HYPERLINK("https://www.facebook.com/264234810584424")</f>
        <v>https://www.facebook.com/264234810584424</v>
      </c>
      <c r="Q644">
        <v>559985</v>
      </c>
      <c r="R644" t="s">
        <v>32</v>
      </c>
      <c r="S644" t="s">
        <v>33</v>
      </c>
      <c r="T644" t="s">
        <v>34</v>
      </c>
      <c r="U644" t="s">
        <v>158</v>
      </c>
      <c r="V644" t="s">
        <v>159</v>
      </c>
    </row>
    <row r="645" spans="1:22" ht="16">
      <c r="A645" t="s">
        <v>973</v>
      </c>
      <c r="B645" t="s">
        <v>1914</v>
      </c>
      <c r="C645" t="s">
        <v>80</v>
      </c>
      <c r="D645" t="s">
        <v>1915</v>
      </c>
      <c r="E645" t="s">
        <v>74</v>
      </c>
      <c r="F645" t="s">
        <v>3</v>
      </c>
      <c r="G645" t="str">
        <f>HYPERLINK("https://www.facebook.com/permalink.php?story_fbid=pfbid0o4Et6HrEE5ifbNf1WoRrPde8qq1tk5bZyoQXFcEkcT9YM2EXc2PiazgXwJcmggJ7l&amp;id=100006975138432&amp;comment_id=1687052628945916")</f>
        <v>https://www.facebook.com/permalink.php?story_fbid=pfbid0o4Et6HrEE5ifbNf1WoRrPde8qq1tk5bZyoQXFcEkcT9YM2EXc2PiazgXwJcmggJ7l&amp;id=100006975138432&amp;comment_id=1687052628945916</v>
      </c>
      <c r="H645" t="s">
        <v>28</v>
      </c>
      <c r="I645" t="s">
        <v>1916</v>
      </c>
      <c r="K645" t="str">
        <f>HYPERLINK("https://www.facebook.com/100003394327759")</f>
        <v>https://www.facebook.com/100003394327759</v>
      </c>
      <c r="M645" t="s">
        <v>40</v>
      </c>
      <c r="N645" t="s">
        <v>31</v>
      </c>
      <c r="O645" t="s">
        <v>1399</v>
      </c>
      <c r="P645" t="str">
        <f>HYPERLINK("https://www.facebook.com/100006975138432")</f>
        <v>https://www.facebook.com/100006975138432</v>
      </c>
      <c r="R645" t="s">
        <v>32</v>
      </c>
      <c r="S645" t="s">
        <v>33</v>
      </c>
      <c r="T645" t="s">
        <v>34</v>
      </c>
      <c r="U645" t="s">
        <v>371</v>
      </c>
      <c r="V645" t="s">
        <v>1014</v>
      </c>
    </row>
    <row r="646" spans="1:22" ht="16">
      <c r="A646" t="s">
        <v>973</v>
      </c>
      <c r="B646" t="s">
        <v>1917</v>
      </c>
      <c r="C646" t="s">
        <v>24</v>
      </c>
      <c r="D646" t="s">
        <v>254</v>
      </c>
      <c r="E646" t="s">
        <v>45</v>
      </c>
      <c r="F646" t="s">
        <v>46</v>
      </c>
      <c r="G646" t="str">
        <f>HYPERLINK("https://www.facebook.com/2023573021908642")</f>
        <v>https://www.facebook.com/2023573021908642</v>
      </c>
      <c r="H646" t="s">
        <v>28</v>
      </c>
      <c r="I646" t="s">
        <v>1918</v>
      </c>
      <c r="K646" t="str">
        <f>HYPERLINK("https://www.facebook.com/100027678921105")</f>
        <v>https://www.facebook.com/100027678921105</v>
      </c>
      <c r="M646" t="s">
        <v>40</v>
      </c>
      <c r="N646" t="s">
        <v>31</v>
      </c>
      <c r="O646" t="s">
        <v>1918</v>
      </c>
      <c r="P646" t="str">
        <f>HYPERLINK("https://www.facebook.com/100027678921105")</f>
        <v>https://www.facebook.com/100027678921105</v>
      </c>
      <c r="R646" t="s">
        <v>32</v>
      </c>
      <c r="S646" t="s">
        <v>33</v>
      </c>
      <c r="T646" t="s">
        <v>62</v>
      </c>
      <c r="U646" t="s">
        <v>1919</v>
      </c>
      <c r="V646" t="s">
        <v>1920</v>
      </c>
    </row>
    <row r="647" spans="1:22" ht="16">
      <c r="A647" t="s">
        <v>973</v>
      </c>
      <c r="B647" t="s">
        <v>1921</v>
      </c>
      <c r="C647" t="s">
        <v>80</v>
      </c>
      <c r="D647" t="s">
        <v>1922</v>
      </c>
      <c r="E647" t="s">
        <v>74</v>
      </c>
      <c r="F647" t="s">
        <v>3</v>
      </c>
      <c r="G647" t="str">
        <f>HYPERLINK("https://www.facebook.com/permalink.php?story_fbid=pfbid0o4Et6HrEE5ifbNf1WoRrPde8qq1tk5bZyoQXFcEkcT9YM2EXc2PiazgXwJcmggJ7l&amp;id=100006975138432&amp;comment_id=804767625293007")</f>
        <v>https://www.facebook.com/permalink.php?story_fbid=pfbid0o4Et6HrEE5ifbNf1WoRrPde8qq1tk5bZyoQXFcEkcT9YM2EXc2PiazgXwJcmggJ7l&amp;id=100006975138432&amp;comment_id=804767625293007</v>
      </c>
      <c r="H647" t="s">
        <v>28</v>
      </c>
      <c r="I647" t="s">
        <v>1923</v>
      </c>
      <c r="K647" t="str">
        <f>HYPERLINK("https://www.facebook.com/100000561356241")</f>
        <v>https://www.facebook.com/100000561356241</v>
      </c>
      <c r="M647" t="s">
        <v>40</v>
      </c>
      <c r="N647" t="s">
        <v>31</v>
      </c>
      <c r="O647" t="s">
        <v>1399</v>
      </c>
      <c r="P647" t="str">
        <f>HYPERLINK("https://www.facebook.com/100006975138432")</f>
        <v>https://www.facebook.com/100006975138432</v>
      </c>
      <c r="R647" t="s">
        <v>32</v>
      </c>
      <c r="S647" t="s">
        <v>85</v>
      </c>
      <c r="T647" t="s">
        <v>34</v>
      </c>
      <c r="U647" t="s">
        <v>58</v>
      </c>
      <c r="V647" t="s">
        <v>58</v>
      </c>
    </row>
    <row r="648" spans="1:22" ht="16">
      <c r="A648" t="s">
        <v>973</v>
      </c>
      <c r="B648" t="s">
        <v>1924</v>
      </c>
      <c r="C648" t="s">
        <v>80</v>
      </c>
      <c r="D648" t="s">
        <v>1925</v>
      </c>
      <c r="E648" t="s">
        <v>74</v>
      </c>
      <c r="F648" t="s">
        <v>3</v>
      </c>
      <c r="G648" t="str">
        <f>HYPERLINK("https://www.facebook.com/permalink.php?story_fbid=pfbid0o4Et6HrEE5ifbNf1WoRrPde8qq1tk5bZyoQXFcEkcT9YM2EXc2PiazgXwJcmggJ7l&amp;id=100006975138432&amp;comment_id=902936482583877")</f>
        <v>https://www.facebook.com/permalink.php?story_fbid=pfbid0o4Et6HrEE5ifbNf1WoRrPde8qq1tk5bZyoQXFcEkcT9YM2EXc2PiazgXwJcmggJ7l&amp;id=100006975138432&amp;comment_id=902936482583877</v>
      </c>
      <c r="H648" t="s">
        <v>28</v>
      </c>
      <c r="I648" t="s">
        <v>1926</v>
      </c>
      <c r="K648" t="str">
        <f>HYPERLINK("https://www.facebook.com/100023471461609")</f>
        <v>https://www.facebook.com/100023471461609</v>
      </c>
      <c r="M648" t="s">
        <v>30</v>
      </c>
      <c r="N648" t="s">
        <v>31</v>
      </c>
      <c r="O648" t="s">
        <v>1399</v>
      </c>
      <c r="P648" t="str">
        <f>HYPERLINK("https://www.facebook.com/100006975138432")</f>
        <v>https://www.facebook.com/100006975138432</v>
      </c>
      <c r="R648" t="s">
        <v>32</v>
      </c>
      <c r="S648" t="s">
        <v>33</v>
      </c>
      <c r="T648" t="s">
        <v>34</v>
      </c>
      <c r="U648" t="s">
        <v>41</v>
      </c>
      <c r="V648" t="s">
        <v>42</v>
      </c>
    </row>
    <row r="649" spans="1:22" ht="16">
      <c r="A649" t="s">
        <v>973</v>
      </c>
      <c r="B649" t="s">
        <v>65</v>
      </c>
      <c r="C649" t="s">
        <v>80</v>
      </c>
      <c r="D649" t="s">
        <v>1927</v>
      </c>
      <c r="E649" t="s">
        <v>74</v>
      </c>
      <c r="F649" t="s">
        <v>3</v>
      </c>
      <c r="G649" t="str">
        <f>HYPERLINK("https://www.facebook.com/permalink.php?story_fbid=pfbid0o4Et6HrEE5ifbNf1WoRrPde8qq1tk5bZyoQXFcEkcT9YM2EXc2PiazgXwJcmggJ7l&amp;id=100006975138432&amp;comment_id=1470297247964620")</f>
        <v>https://www.facebook.com/permalink.php?story_fbid=pfbid0o4Et6HrEE5ifbNf1WoRrPde8qq1tk5bZyoQXFcEkcT9YM2EXc2PiazgXwJcmggJ7l&amp;id=100006975138432&amp;comment_id=1470297247964620</v>
      </c>
      <c r="H649" t="s">
        <v>28</v>
      </c>
      <c r="I649" t="s">
        <v>1926</v>
      </c>
      <c r="K649" t="str">
        <f>HYPERLINK("https://www.facebook.com/100023471461609")</f>
        <v>https://www.facebook.com/100023471461609</v>
      </c>
      <c r="M649" t="s">
        <v>30</v>
      </c>
      <c r="N649" t="s">
        <v>31</v>
      </c>
      <c r="O649" t="s">
        <v>1399</v>
      </c>
      <c r="P649" t="str">
        <f>HYPERLINK("https://www.facebook.com/100006975138432")</f>
        <v>https://www.facebook.com/100006975138432</v>
      </c>
      <c r="R649" t="s">
        <v>32</v>
      </c>
      <c r="S649" t="s">
        <v>85</v>
      </c>
      <c r="T649" t="s">
        <v>34</v>
      </c>
      <c r="U649" t="s">
        <v>41</v>
      </c>
      <c r="V649" t="s">
        <v>42</v>
      </c>
    </row>
    <row r="650" spans="1:22" ht="16">
      <c r="A650" t="s">
        <v>973</v>
      </c>
      <c r="B650" t="s">
        <v>1928</v>
      </c>
      <c r="C650" t="s">
        <v>24</v>
      </c>
      <c r="D650" t="s">
        <v>238</v>
      </c>
      <c r="E650" t="s">
        <v>45</v>
      </c>
      <c r="F650" t="s">
        <v>3</v>
      </c>
      <c r="G650" t="str">
        <f>HYPERLINK("https://www.facebook.com/122110135425234399")</f>
        <v>https://www.facebook.com/122110135425234399</v>
      </c>
      <c r="H650" t="s">
        <v>28</v>
      </c>
      <c r="I650" t="s">
        <v>1929</v>
      </c>
      <c r="K650" t="str">
        <f>HYPERLINK("https://www.facebook.com/61587031990863")</f>
        <v>https://www.facebook.com/61587031990863</v>
      </c>
      <c r="M650" t="s">
        <v>40</v>
      </c>
      <c r="N650" t="s">
        <v>31</v>
      </c>
      <c r="O650" t="s">
        <v>1929</v>
      </c>
      <c r="P650" t="str">
        <f>HYPERLINK("https://www.facebook.com/61587031990863")</f>
        <v>https://www.facebook.com/61587031990863</v>
      </c>
      <c r="R650" t="s">
        <v>32</v>
      </c>
      <c r="S650" t="s">
        <v>33</v>
      </c>
      <c r="T650" t="s">
        <v>34</v>
      </c>
      <c r="U650" t="s">
        <v>58</v>
      </c>
      <c r="V650" t="s">
        <v>58</v>
      </c>
    </row>
    <row r="651" spans="1:22" ht="16">
      <c r="A651" t="s">
        <v>973</v>
      </c>
      <c r="B651" t="s">
        <v>1930</v>
      </c>
      <c r="C651" t="s">
        <v>768</v>
      </c>
      <c r="D651" t="s">
        <v>1931</v>
      </c>
      <c r="E651" t="s">
        <v>74</v>
      </c>
      <c r="F651" t="s">
        <v>3</v>
      </c>
      <c r="G651" t="str">
        <f>HYPERLINK("https://www.facebook.com/toyelviv/posts/pfbid02HyVHmdRrHaKvpJCV4k8sSATEQmB44tvrgpepSrJQ66Qs74jVAzPQ6qaz5ZMHUoNBl?comment_id=1261654519243745")</f>
        <v>https://www.facebook.com/toyelviv/posts/pfbid02HyVHmdRrHaKvpJCV4k8sSATEQmB44tvrgpepSrJQ66Qs74jVAzPQ6qaz5ZMHUoNBl?comment_id=1261654519243745</v>
      </c>
      <c r="H651" t="s">
        <v>28</v>
      </c>
      <c r="I651" t="s">
        <v>1932</v>
      </c>
      <c r="K651" t="str">
        <f>HYPERLINK("https://www.facebook.com/100028622826225")</f>
        <v>https://www.facebook.com/100028622826225</v>
      </c>
      <c r="M651" t="s">
        <v>40</v>
      </c>
      <c r="N651" t="s">
        <v>31</v>
      </c>
      <c r="O651" t="s">
        <v>1559</v>
      </c>
      <c r="P651" t="str">
        <f>HYPERLINK("https://www.facebook.com/320892981422193")</f>
        <v>https://www.facebook.com/320892981422193</v>
      </c>
      <c r="Q651">
        <v>293869</v>
      </c>
      <c r="R651" t="s">
        <v>32</v>
      </c>
      <c r="S651" t="s">
        <v>33</v>
      </c>
      <c r="T651" t="s">
        <v>34</v>
      </c>
      <c r="U651" t="s">
        <v>58</v>
      </c>
      <c r="V651" t="s">
        <v>58</v>
      </c>
    </row>
    <row r="652" spans="1:22" ht="16">
      <c r="A652" t="s">
        <v>973</v>
      </c>
      <c r="B652" t="s">
        <v>1930</v>
      </c>
      <c r="C652" t="s">
        <v>72</v>
      </c>
      <c r="D652" t="s">
        <v>1933</v>
      </c>
      <c r="E652" t="s">
        <v>74</v>
      </c>
      <c r="F652" t="s">
        <v>3</v>
      </c>
      <c r="G652" t="str">
        <f>HYPERLINK("https://www.facebook.com/antonov.vs/posts/pfbid0WoDA925DuzoodzbS7V28bt4ds9TmfsHEXjvxieTXWzQ3cuc53piJ6r5PvYjhKEdjl?comment_id=957014093648556")</f>
        <v>https://www.facebook.com/antonov.vs/posts/pfbid0WoDA925DuzoodzbS7V28bt4ds9TmfsHEXjvxieTXWzQ3cuc53piJ6r5PvYjhKEdjl?comment_id=957014093648556</v>
      </c>
      <c r="H652" t="s">
        <v>28</v>
      </c>
      <c r="I652" t="s">
        <v>1934</v>
      </c>
      <c r="K652" t="str">
        <f>HYPERLINK("https://www.facebook.com/100088698576126")</f>
        <v>https://www.facebook.com/100088698576126</v>
      </c>
      <c r="M652" t="s">
        <v>30</v>
      </c>
      <c r="N652" t="s">
        <v>31</v>
      </c>
      <c r="O652" t="s">
        <v>1127</v>
      </c>
      <c r="P652" t="str">
        <f>HYPERLINK("https://www.facebook.com/100002292546539")</f>
        <v>https://www.facebook.com/100002292546539</v>
      </c>
      <c r="Q652">
        <v>485</v>
      </c>
      <c r="R652" t="s">
        <v>32</v>
      </c>
      <c r="S652" t="s">
        <v>85</v>
      </c>
      <c r="T652" t="s">
        <v>34</v>
      </c>
      <c r="U652" t="s">
        <v>1308</v>
      </c>
      <c r="V652" t="s">
        <v>1309</v>
      </c>
    </row>
    <row r="653" spans="1:22" ht="16">
      <c r="A653" t="s">
        <v>973</v>
      </c>
      <c r="B653" t="s">
        <v>910</v>
      </c>
      <c r="C653" t="s">
        <v>80</v>
      </c>
      <c r="D653" t="s">
        <v>1935</v>
      </c>
      <c r="E653" t="s">
        <v>74</v>
      </c>
      <c r="F653" t="s">
        <v>3</v>
      </c>
      <c r="G653" t="str">
        <f>HYPERLINK("https://www.facebook.com/permalink.php?story_fbid=pfbid0o4Et6HrEE5ifbNf1WoRrPde8qq1tk5bZyoQXFcEkcT9YM2EXc2PiazgXwJcmggJ7l&amp;id=100006975138432&amp;comment_id=1276022181060738")</f>
        <v>https://www.facebook.com/permalink.php?story_fbid=pfbid0o4Et6HrEE5ifbNf1WoRrPde8qq1tk5bZyoQXFcEkcT9YM2EXc2PiazgXwJcmggJ7l&amp;id=100006975138432&amp;comment_id=1276022181060738</v>
      </c>
      <c r="H653" t="s">
        <v>28</v>
      </c>
      <c r="I653" t="s">
        <v>1936</v>
      </c>
      <c r="J653" t="s">
        <v>1937</v>
      </c>
      <c r="K653" t="str">
        <f>HYPERLINK("https://www.facebook.com/100031563864251")</f>
        <v>https://www.facebook.com/100031563864251</v>
      </c>
      <c r="M653" t="s">
        <v>40</v>
      </c>
      <c r="N653" t="s">
        <v>31</v>
      </c>
      <c r="O653" t="s">
        <v>1399</v>
      </c>
      <c r="P653" t="str">
        <f>HYPERLINK("https://www.facebook.com/100006975138432")</f>
        <v>https://www.facebook.com/100006975138432</v>
      </c>
      <c r="R653" t="s">
        <v>32</v>
      </c>
      <c r="S653" t="s">
        <v>85</v>
      </c>
      <c r="T653" t="s">
        <v>34</v>
      </c>
      <c r="U653" t="s">
        <v>542</v>
      </c>
      <c r="V653" t="s">
        <v>828</v>
      </c>
    </row>
    <row r="654" spans="1:22" ht="16">
      <c r="A654" t="s">
        <v>973</v>
      </c>
      <c r="B654" t="s">
        <v>1938</v>
      </c>
      <c r="C654" t="s">
        <v>80</v>
      </c>
      <c r="D654" t="s">
        <v>1939</v>
      </c>
      <c r="E654" t="s">
        <v>74</v>
      </c>
      <c r="F654" t="s">
        <v>3</v>
      </c>
      <c r="G654" t="str">
        <f>HYPERLINK("https://www.facebook.com/westukrnews/posts/pfbid05KpJzZfAmc7DG6HMNPojmy3FDtYQBjx33JCcksAdDUDGcWNSDnn66BSqDiowXeWol?comment_id=1425514838464528")</f>
        <v>https://www.facebook.com/westukrnews/posts/pfbid05KpJzZfAmc7DG6HMNPojmy3FDtYQBjx33JCcksAdDUDGcWNSDnn66BSqDiowXeWol?comment_id=1425514838464528</v>
      </c>
      <c r="H654" t="s">
        <v>28</v>
      </c>
      <c r="I654" t="s">
        <v>1926</v>
      </c>
      <c r="K654" t="str">
        <f>HYPERLINK("https://www.facebook.com/100023471461609")</f>
        <v>https://www.facebook.com/100023471461609</v>
      </c>
      <c r="M654" t="s">
        <v>30</v>
      </c>
      <c r="N654" t="s">
        <v>31</v>
      </c>
      <c r="O654" t="s">
        <v>813</v>
      </c>
      <c r="P654" t="str">
        <f>HYPERLINK("https://www.facebook.com/264234810584424")</f>
        <v>https://www.facebook.com/264234810584424</v>
      </c>
      <c r="Q654">
        <v>559985</v>
      </c>
      <c r="R654" t="s">
        <v>32</v>
      </c>
      <c r="S654" t="s">
        <v>33</v>
      </c>
      <c r="T654" t="s">
        <v>34</v>
      </c>
      <c r="U654" t="s">
        <v>41</v>
      </c>
      <c r="V654" t="s">
        <v>42</v>
      </c>
    </row>
    <row r="655" spans="1:21" ht="16">
      <c r="A655" t="s">
        <v>973</v>
      </c>
      <c r="B655" t="s">
        <v>1940</v>
      </c>
      <c r="C655" t="s">
        <v>24</v>
      </c>
      <c r="D655" t="s">
        <v>44</v>
      </c>
      <c r="E655" t="s">
        <v>45</v>
      </c>
      <c r="F655" t="s">
        <v>46</v>
      </c>
      <c r="G655" t="str">
        <f>HYPERLINK("https://www.facebook.com/3355041904651462")</f>
        <v>https://www.facebook.com/3355041904651462</v>
      </c>
      <c r="H655" t="s">
        <v>28</v>
      </c>
      <c r="I655" t="s">
        <v>1941</v>
      </c>
      <c r="J655" t="s">
        <v>1942</v>
      </c>
      <c r="K655" t="str">
        <f>HYPERLINK("https://www.facebook.com/100004370551303")</f>
        <v>https://www.facebook.com/100004370551303</v>
      </c>
      <c r="M655" t="s">
        <v>30</v>
      </c>
      <c r="N655" t="s">
        <v>31</v>
      </c>
      <c r="O655" t="s">
        <v>1941</v>
      </c>
      <c r="P655" t="str">
        <f>HYPERLINK("https://www.facebook.com/100004370551303")</f>
        <v>https://www.facebook.com/100004370551303</v>
      </c>
      <c r="R655" t="s">
        <v>32</v>
      </c>
      <c r="S655" t="s">
        <v>33</v>
      </c>
      <c r="T655" t="s">
        <v>34</v>
      </c>
      <c r="U655" t="s">
        <v>309</v>
      </c>
    </row>
    <row r="656" spans="1:22" ht="16">
      <c r="A656" t="s">
        <v>973</v>
      </c>
      <c r="B656" t="s">
        <v>1943</v>
      </c>
      <c r="C656" t="s">
        <v>24</v>
      </c>
      <c r="D656" t="s">
        <v>1381</v>
      </c>
      <c r="E656" t="s">
        <v>45</v>
      </c>
      <c r="F656" t="s">
        <v>55</v>
      </c>
      <c r="G656" t="str">
        <f>HYPERLINK("https://www.facebook.com/1637918354030199")</f>
        <v>https://www.facebook.com/1637918354030199</v>
      </c>
      <c r="H656" t="s">
        <v>28</v>
      </c>
      <c r="I656" t="s">
        <v>1944</v>
      </c>
      <c r="K656" t="str">
        <f>HYPERLINK("https://www.facebook.com/100034361500883")</f>
        <v>https://www.facebook.com/100034361500883</v>
      </c>
      <c r="M656" t="s">
        <v>30</v>
      </c>
      <c r="N656" t="s">
        <v>31</v>
      </c>
      <c r="O656" t="s">
        <v>1944</v>
      </c>
      <c r="P656" t="str">
        <f>HYPERLINK("https://www.facebook.com/100034361500883")</f>
        <v>https://www.facebook.com/100034361500883</v>
      </c>
      <c r="R656" t="s">
        <v>32</v>
      </c>
      <c r="S656" t="s">
        <v>33</v>
      </c>
      <c r="T656" t="s">
        <v>34</v>
      </c>
      <c r="U656" t="s">
        <v>58</v>
      </c>
      <c r="V656" t="s">
        <v>58</v>
      </c>
    </row>
    <row r="657" spans="1:22" ht="16">
      <c r="A657" t="s">
        <v>973</v>
      </c>
      <c r="B657" t="s">
        <v>1945</v>
      </c>
      <c r="C657" t="s">
        <v>80</v>
      </c>
      <c r="D657" t="s">
        <v>1946</v>
      </c>
      <c r="E657" t="s">
        <v>74</v>
      </c>
      <c r="F657" t="s">
        <v>3</v>
      </c>
      <c r="G657" t="str">
        <f>HYPERLINK("https://www.facebook.com/westukrnews/posts/pfbid05KpJzZfAmc7DG6HMNPojmy3FDtYQBjx33JCcksAdDUDGcWNSDnn66BSqDiowXeWol?comment_id=1592441172237330")</f>
        <v>https://www.facebook.com/westukrnews/posts/pfbid05KpJzZfAmc7DG6HMNPojmy3FDtYQBjx33JCcksAdDUDGcWNSDnn66BSqDiowXeWol?comment_id=1592441172237330</v>
      </c>
      <c r="H657" t="s">
        <v>28</v>
      </c>
      <c r="I657" t="s">
        <v>1947</v>
      </c>
      <c r="K657" t="str">
        <f>HYPERLINK("https://www.facebook.com/100072989344447")</f>
        <v>https://www.facebook.com/100072989344447</v>
      </c>
      <c r="M657" t="s">
        <v>30</v>
      </c>
      <c r="N657" t="s">
        <v>31</v>
      </c>
      <c r="O657" t="s">
        <v>813</v>
      </c>
      <c r="P657" t="str">
        <f>HYPERLINK("https://www.facebook.com/264234810584424")</f>
        <v>https://www.facebook.com/264234810584424</v>
      </c>
      <c r="Q657">
        <v>559985</v>
      </c>
      <c r="R657" t="s">
        <v>32</v>
      </c>
      <c r="S657" t="s">
        <v>33</v>
      </c>
      <c r="T657" t="s">
        <v>34</v>
      </c>
      <c r="U657" t="s">
        <v>487</v>
      </c>
      <c r="V657" t="s">
        <v>814</v>
      </c>
    </row>
    <row r="658" spans="1:21" ht="16">
      <c r="A658" t="s">
        <v>973</v>
      </c>
      <c r="B658" t="s">
        <v>1948</v>
      </c>
      <c r="C658" t="s">
        <v>24</v>
      </c>
      <c r="D658" t="s">
        <v>254</v>
      </c>
      <c r="E658" t="s">
        <v>45</v>
      </c>
      <c r="F658" t="s">
        <v>46</v>
      </c>
      <c r="G658" t="str">
        <f>HYPERLINK("https://www.facebook.com/26185103594461120")</f>
        <v>https://www.facebook.com/26185103594461120</v>
      </c>
      <c r="H658" t="s">
        <v>28</v>
      </c>
      <c r="I658" t="s">
        <v>1949</v>
      </c>
      <c r="J658" t="s">
        <v>1950</v>
      </c>
      <c r="K658" t="str">
        <f>HYPERLINK("https://www.facebook.com/100001645091313")</f>
        <v>https://www.facebook.com/100001645091313</v>
      </c>
      <c r="M658" t="s">
        <v>40</v>
      </c>
      <c r="N658" t="s">
        <v>31</v>
      </c>
      <c r="O658" t="s">
        <v>1949</v>
      </c>
      <c r="P658" t="str">
        <f>HYPERLINK("https://www.facebook.com/100001645091313")</f>
        <v>https://www.facebook.com/100001645091313</v>
      </c>
      <c r="R658" t="s">
        <v>32</v>
      </c>
      <c r="S658" t="s">
        <v>33</v>
      </c>
      <c r="T658" t="s">
        <v>34</v>
      </c>
      <c r="U658" t="s">
        <v>309</v>
      </c>
    </row>
    <row r="659" spans="1:19" ht="16">
      <c r="A659" t="s">
        <v>973</v>
      </c>
      <c r="B659" t="s">
        <v>1951</v>
      </c>
      <c r="C659" t="s">
        <v>24</v>
      </c>
      <c r="D659" t="s">
        <v>44</v>
      </c>
      <c r="E659" t="s">
        <v>45</v>
      </c>
      <c r="F659" t="s">
        <v>46</v>
      </c>
      <c r="G659" t="str">
        <f>HYPERLINK("https://www.facebook.com/10232948523835047")</f>
        <v>https://www.facebook.com/10232948523835047</v>
      </c>
      <c r="H659" t="s">
        <v>28</v>
      </c>
      <c r="I659" t="s">
        <v>1952</v>
      </c>
      <c r="J659" t="s">
        <v>1953</v>
      </c>
      <c r="K659" t="str">
        <f>HYPERLINK("https://www.facebook.com/1224518344")</f>
        <v>https://www.facebook.com/1224518344</v>
      </c>
      <c r="M659" t="s">
        <v>40</v>
      </c>
      <c r="N659" t="s">
        <v>31</v>
      </c>
      <c r="O659" t="s">
        <v>1952</v>
      </c>
      <c r="P659" t="str">
        <f>HYPERLINK("https://www.facebook.com/1224518344")</f>
        <v>https://www.facebook.com/1224518344</v>
      </c>
      <c r="R659" t="s">
        <v>32</v>
      </c>
      <c r="S659" t="s">
        <v>33</v>
      </c>
    </row>
    <row r="660" spans="1:21" ht="16">
      <c r="A660" t="s">
        <v>973</v>
      </c>
      <c r="B660" t="s">
        <v>1954</v>
      </c>
      <c r="C660" t="s">
        <v>80</v>
      </c>
      <c r="D660" t="s">
        <v>1955</v>
      </c>
      <c r="E660" t="s">
        <v>74</v>
      </c>
      <c r="F660" t="s">
        <v>3</v>
      </c>
      <c r="G660" t="str">
        <f>HYPERLINK("https://www.facebook.com/permalink.php?story_fbid=pfbid02rbt51TUb57HR4F6gBd5FwSTuyaUp3gHvM6gsAExHboTPbUq2FdNvTKt3sBpRB8pml&amp;id=100006975138432&amp;comment_id=888315530709649")</f>
        <v>https://www.facebook.com/permalink.php?story_fbid=pfbid02rbt51TUb57HR4F6gBd5FwSTuyaUp3gHvM6gsAExHboTPbUq2FdNvTKt3sBpRB8pml&amp;id=100006975138432&amp;comment_id=888315530709649</v>
      </c>
      <c r="H660" t="s">
        <v>28</v>
      </c>
      <c r="I660" t="s">
        <v>1956</v>
      </c>
      <c r="K660" t="str">
        <f>HYPERLINK("https://www.facebook.com/100002078165011")</f>
        <v>https://www.facebook.com/100002078165011</v>
      </c>
      <c r="M660" t="s">
        <v>40</v>
      </c>
      <c r="N660" t="s">
        <v>31</v>
      </c>
      <c r="O660" t="s">
        <v>1399</v>
      </c>
      <c r="P660" t="str">
        <f>HYPERLINK("https://www.facebook.com/100006975138432")</f>
        <v>https://www.facebook.com/100006975138432</v>
      </c>
      <c r="R660" t="s">
        <v>32</v>
      </c>
      <c r="S660" t="s">
        <v>1776</v>
      </c>
      <c r="T660" t="s">
        <v>34</v>
      </c>
      <c r="U660" t="s">
        <v>77</v>
      </c>
    </row>
    <row r="661" spans="1:21" ht="16">
      <c r="A661" t="s">
        <v>973</v>
      </c>
      <c r="B661" t="s">
        <v>1957</v>
      </c>
      <c r="C661" t="s">
        <v>768</v>
      </c>
      <c r="D661" t="s">
        <v>1958</v>
      </c>
      <c r="E661" t="s">
        <v>74</v>
      </c>
      <c r="F661" t="s">
        <v>3</v>
      </c>
      <c r="G661" t="str">
        <f>HYPERLINK("https://www.facebook.com/permalink.php?story_fbid=pfbid0szG6DqrsnXjsMxAE2TRzSyQSFAtZtYFcgHfmnDRpXy1wejfFXLYfZMEiwsi7RmMjl&amp;id=100090843379637&amp;comment_id=894379026830602")</f>
        <v>https://www.facebook.com/permalink.php?story_fbid=pfbid0szG6DqrsnXjsMxAE2TRzSyQSFAtZtYFcgHfmnDRpXy1wejfFXLYfZMEiwsi7RmMjl&amp;id=100090843379637&amp;comment_id=894379026830602</v>
      </c>
      <c r="H661" t="s">
        <v>28</v>
      </c>
      <c r="I661" t="s">
        <v>1959</v>
      </c>
      <c r="K661" t="str">
        <f>HYPERLINK("https://www.facebook.com/100018898231295")</f>
        <v>https://www.facebook.com/100018898231295</v>
      </c>
      <c r="M661" t="s">
        <v>40</v>
      </c>
      <c r="N661" t="s">
        <v>31</v>
      </c>
      <c r="O661" t="s">
        <v>876</v>
      </c>
      <c r="P661" t="str">
        <f>HYPERLINK("https://www.facebook.com/100090843379637")</f>
        <v>https://www.facebook.com/100090843379637</v>
      </c>
      <c r="R661" t="s">
        <v>32</v>
      </c>
      <c r="S661" t="s">
        <v>85</v>
      </c>
      <c r="T661" t="s">
        <v>34</v>
      </c>
      <c r="U661" t="s">
        <v>309</v>
      </c>
    </row>
    <row r="662" spans="1:19" ht="16">
      <c r="A662" t="s">
        <v>973</v>
      </c>
      <c r="B662" t="s">
        <v>1960</v>
      </c>
      <c r="C662" t="s">
        <v>24</v>
      </c>
      <c r="D662" t="s">
        <v>1961</v>
      </c>
      <c r="E662" t="s">
        <v>101</v>
      </c>
      <c r="F662" t="s">
        <v>46</v>
      </c>
      <c r="G662" t="str">
        <f>HYPERLINK("https://www.facebook.com/122160923432405844")</f>
        <v>https://www.facebook.com/122160923432405844</v>
      </c>
      <c r="H662" t="s">
        <v>28</v>
      </c>
      <c r="I662" t="s">
        <v>1962</v>
      </c>
      <c r="K662" t="str">
        <f>HYPERLINK("https://www.facebook.com/61562175344792")</f>
        <v>https://www.facebook.com/61562175344792</v>
      </c>
      <c r="M662" t="s">
        <v>40</v>
      </c>
      <c r="N662" t="s">
        <v>31</v>
      </c>
      <c r="O662" t="s">
        <v>1962</v>
      </c>
      <c r="P662" t="str">
        <f>HYPERLINK("https://www.facebook.com/61562175344792")</f>
        <v>https://www.facebook.com/61562175344792</v>
      </c>
      <c r="R662" t="s">
        <v>32</v>
      </c>
      <c r="S662" t="s">
        <v>57</v>
      </c>
    </row>
    <row r="663" spans="1:22" ht="16">
      <c r="A663" t="s">
        <v>973</v>
      </c>
      <c r="B663" t="s">
        <v>1963</v>
      </c>
      <c r="C663" t="s">
        <v>80</v>
      </c>
      <c r="D663" t="s">
        <v>1964</v>
      </c>
      <c r="E663" t="s">
        <v>74</v>
      </c>
      <c r="F663" t="s">
        <v>3</v>
      </c>
      <c r="G663" t="str">
        <f>HYPERLINK("https://www.facebook.com/lidiya.staford/posts/pfbid0JWixA3pf57gGwRcMRFMxNxBGCZF5WMtC4sCf7PKWm5fD3gMy62s7TcZv6E9Ua7yTl?comment_id=815646424885837")</f>
        <v>https://www.facebook.com/lidiya.staford/posts/pfbid0JWixA3pf57gGwRcMRFMxNxBGCZF5WMtC4sCf7PKWm5fD3gMy62s7TcZv6E9Ua7yTl?comment_id=815646424885837</v>
      </c>
      <c r="H663" t="s">
        <v>28</v>
      </c>
      <c r="I663" t="s">
        <v>1965</v>
      </c>
      <c r="K663" t="str">
        <f>HYPERLINK("https://www.facebook.com/pfbid0LVwX1s4tVv9oKyhBjdRrZkwTvTBEQ1uvCPYR5jy9prf9ykpL4qXs8WvpVMHyp6wFl")</f>
        <v>https://www.facebook.com/pfbid0LVwX1s4tVv9oKyhBjdRrZkwTvTBEQ1uvCPYR5jy9prf9ykpL4qXs8WvpVMHyp6wFl</v>
      </c>
      <c r="M663" t="s">
        <v>40</v>
      </c>
      <c r="N663" t="s">
        <v>31</v>
      </c>
      <c r="O663" t="s">
        <v>1966</v>
      </c>
      <c r="P663" t="str">
        <f>HYPERLINK("https://www.facebook.com/61550065765626")</f>
        <v>https://www.facebook.com/61550065765626</v>
      </c>
      <c r="R663" t="s">
        <v>32</v>
      </c>
      <c r="S663" t="s">
        <v>57</v>
      </c>
      <c r="T663" t="s">
        <v>86</v>
      </c>
      <c r="U663" t="s">
        <v>1967</v>
      </c>
      <c r="V663" t="s">
        <v>1968</v>
      </c>
    </row>
    <row r="664" spans="1:22" ht="16">
      <c r="A664" t="s">
        <v>973</v>
      </c>
      <c r="B664" t="s">
        <v>1969</v>
      </c>
      <c r="C664" t="s">
        <v>80</v>
      </c>
      <c r="D664" t="s">
        <v>1970</v>
      </c>
      <c r="E664" t="s">
        <v>74</v>
      </c>
      <c r="F664" t="s">
        <v>3</v>
      </c>
      <c r="G664" t="str">
        <f>HYPERLINK("https://www.facebook.com/permalink.php?story_fbid=pfbid02rbt51TUb57HR4F6gBd5FwSTuyaUp3gHvM6gsAExHboTPbUq2FdNvTKt3sBpRB8pml&amp;id=100006975138432&amp;comment_id=1572306630544546")</f>
        <v>https://www.facebook.com/permalink.php?story_fbid=pfbid02rbt51TUb57HR4F6gBd5FwSTuyaUp3gHvM6gsAExHboTPbUq2FdNvTKt3sBpRB8pml&amp;id=100006975138432&amp;comment_id=1572306630544546</v>
      </c>
      <c r="H664" t="s">
        <v>28</v>
      </c>
      <c r="I664" t="s">
        <v>1971</v>
      </c>
      <c r="K664" t="str">
        <f>HYPERLINK("https://www.facebook.com/100005119087880")</f>
        <v>https://www.facebook.com/100005119087880</v>
      </c>
      <c r="M664" t="s">
        <v>30</v>
      </c>
      <c r="N664" t="s">
        <v>31</v>
      </c>
      <c r="O664" t="s">
        <v>1399</v>
      </c>
      <c r="P664" t="str">
        <f>HYPERLINK("https://www.facebook.com/100006975138432")</f>
        <v>https://www.facebook.com/100006975138432</v>
      </c>
      <c r="R664" t="s">
        <v>32</v>
      </c>
      <c r="S664" t="s">
        <v>57</v>
      </c>
      <c r="T664" t="s">
        <v>34</v>
      </c>
      <c r="U664" t="s">
        <v>58</v>
      </c>
      <c r="V664" t="s">
        <v>58</v>
      </c>
    </row>
    <row r="665" spans="1:22" ht="16">
      <c r="A665" t="s">
        <v>973</v>
      </c>
      <c r="B665" t="s">
        <v>1969</v>
      </c>
      <c r="C665" t="s">
        <v>24</v>
      </c>
      <c r="D665" t="s">
        <v>44</v>
      </c>
      <c r="E665" t="s">
        <v>45</v>
      </c>
      <c r="F665" t="s">
        <v>46</v>
      </c>
      <c r="G665" t="str">
        <f>HYPERLINK("https://www.facebook.com/122272314842187476")</f>
        <v>https://www.facebook.com/122272314842187476</v>
      </c>
      <c r="H665" t="s">
        <v>28</v>
      </c>
      <c r="I665" t="s">
        <v>1972</v>
      </c>
      <c r="K665" t="str">
        <f>HYPERLINK("https://www.facebook.com/61555624296732")</f>
        <v>https://www.facebook.com/61555624296732</v>
      </c>
      <c r="M665" t="s">
        <v>30</v>
      </c>
      <c r="N665" t="s">
        <v>31</v>
      </c>
      <c r="O665" t="s">
        <v>1972</v>
      </c>
      <c r="P665" t="str">
        <f>HYPERLINK("https://www.facebook.com/61555624296732")</f>
        <v>https://www.facebook.com/61555624296732</v>
      </c>
      <c r="R665" t="s">
        <v>32</v>
      </c>
      <c r="S665" t="s">
        <v>33</v>
      </c>
      <c r="T665" t="s">
        <v>92</v>
      </c>
      <c r="U665" t="s">
        <v>1973</v>
      </c>
      <c r="V665" t="s">
        <v>1974</v>
      </c>
    </row>
    <row r="666" spans="1:19" ht="16">
      <c r="A666" t="s">
        <v>973</v>
      </c>
      <c r="B666" t="s">
        <v>1975</v>
      </c>
      <c r="C666" t="s">
        <v>24</v>
      </c>
      <c r="D666" t="s">
        <v>1976</v>
      </c>
      <c r="E666" t="s">
        <v>45</v>
      </c>
      <c r="F666" t="s">
        <v>1977</v>
      </c>
      <c r="G666" t="str">
        <f>HYPERLINK("https://www.threads.net/@ipaskevich/post/DVSOf4qkSgG")</f>
        <v>https://www.threads.net/@ipaskevich/post/DVSOf4qkSgG</v>
      </c>
      <c r="H666" t="s">
        <v>28</v>
      </c>
      <c r="I666" t="s">
        <v>1978</v>
      </c>
      <c r="J666" t="s">
        <v>1979</v>
      </c>
      <c r="K666" t="str">
        <f>HYPERLINK("https://www.threads.net/@ipaskevich")</f>
        <v>https://www.threads.net/@ipaskevich</v>
      </c>
      <c r="L666">
        <v>23</v>
      </c>
      <c r="M666" t="s">
        <v>40</v>
      </c>
      <c r="N666" t="s">
        <v>1980</v>
      </c>
      <c r="R666" t="s">
        <v>32</v>
      </c>
      <c r="S666" t="s">
        <v>33</v>
      </c>
    </row>
    <row r="667" spans="1:22" ht="16">
      <c r="A667" t="s">
        <v>973</v>
      </c>
      <c r="B667" t="s">
        <v>1981</v>
      </c>
      <c r="C667" t="s">
        <v>80</v>
      </c>
      <c r="D667" t="s">
        <v>1982</v>
      </c>
      <c r="E667" t="s">
        <v>74</v>
      </c>
      <c r="F667" t="s">
        <v>3</v>
      </c>
      <c r="G667" t="str">
        <f>HYPERLINK("https://www.facebook.com/permalink.php?story_fbid=pfbid02pjSDtD2PCdmxjdtt43zQjo8a7vCAX6dYjgtpfrEgWHmT6B8Gd8DK5i46LRLRzRNzl&amp;id=100090843379637&amp;comment_id=1210243177946895")</f>
        <v>https://www.facebook.com/permalink.php?story_fbid=pfbid02pjSDtD2PCdmxjdtt43zQjo8a7vCAX6dYjgtpfrEgWHmT6B8Gd8DK5i46LRLRzRNzl&amp;id=100090843379637&amp;comment_id=1210243177946895</v>
      </c>
      <c r="H667" t="s">
        <v>28</v>
      </c>
      <c r="I667" t="s">
        <v>1983</v>
      </c>
      <c r="K667" t="str">
        <f>HYPERLINK("https://www.facebook.com/100032407324656")</f>
        <v>https://www.facebook.com/100032407324656</v>
      </c>
      <c r="M667" t="s">
        <v>30</v>
      </c>
      <c r="N667" t="s">
        <v>31</v>
      </c>
      <c r="O667" t="s">
        <v>876</v>
      </c>
      <c r="P667" t="str">
        <f>HYPERLINK("https://www.facebook.com/100090843379637")</f>
        <v>https://www.facebook.com/100090843379637</v>
      </c>
      <c r="R667" t="s">
        <v>32</v>
      </c>
      <c r="S667" t="s">
        <v>33</v>
      </c>
      <c r="T667" t="s">
        <v>34</v>
      </c>
      <c r="U667" t="s">
        <v>384</v>
      </c>
      <c r="V667" t="s">
        <v>781</v>
      </c>
    </row>
    <row r="668" spans="1:22" ht="16">
      <c r="A668" t="s">
        <v>973</v>
      </c>
      <c r="B668" t="s">
        <v>1984</v>
      </c>
      <c r="C668" t="s">
        <v>80</v>
      </c>
      <c r="D668" t="s">
        <v>1985</v>
      </c>
      <c r="E668" t="s">
        <v>74</v>
      </c>
      <c r="F668" t="s">
        <v>3</v>
      </c>
      <c r="G668" t="str">
        <f>HYPERLINK("https://www.facebook.com/westukrnews/posts/pfbid05KpJzZfAmc7DG6HMNPojmy3FDtYQBjx33JCcksAdDUDGcWNSDnn66BSqDiowXeWol?comment_id=1476308567259320")</f>
        <v>https://www.facebook.com/westukrnews/posts/pfbid05KpJzZfAmc7DG6HMNPojmy3FDtYQBjx33JCcksAdDUDGcWNSDnn66BSqDiowXeWol?comment_id=1476308567259320</v>
      </c>
      <c r="H668" t="s">
        <v>28</v>
      </c>
      <c r="I668" t="s">
        <v>1986</v>
      </c>
      <c r="K668" t="str">
        <f>HYPERLINK("https://www.facebook.com/100074168827943")</f>
        <v>https://www.facebook.com/100074168827943</v>
      </c>
      <c r="M668" t="s">
        <v>30</v>
      </c>
      <c r="N668" t="s">
        <v>31</v>
      </c>
      <c r="O668" t="s">
        <v>813</v>
      </c>
      <c r="P668" t="str">
        <f>HYPERLINK("https://www.facebook.com/264234810584424")</f>
        <v>https://www.facebook.com/264234810584424</v>
      </c>
      <c r="Q668">
        <v>559985</v>
      </c>
      <c r="R668" t="s">
        <v>32</v>
      </c>
      <c r="S668" t="s">
        <v>33</v>
      </c>
      <c r="T668" t="s">
        <v>34</v>
      </c>
      <c r="U668" t="s">
        <v>487</v>
      </c>
      <c r="V668" t="s">
        <v>814</v>
      </c>
    </row>
    <row r="669" spans="1:20" ht="16">
      <c r="A669" t="s">
        <v>973</v>
      </c>
      <c r="B669" t="s">
        <v>1987</v>
      </c>
      <c r="C669" t="s">
        <v>24</v>
      </c>
      <c r="D669" t="s">
        <v>49</v>
      </c>
      <c r="E669" t="s">
        <v>45</v>
      </c>
      <c r="F669" t="s">
        <v>46</v>
      </c>
      <c r="G669" t="str">
        <f>HYPERLINK("https://www.facebook.com/2526693181062366")</f>
        <v>https://www.facebook.com/2526693181062366</v>
      </c>
      <c r="H669" t="s">
        <v>28</v>
      </c>
      <c r="I669" t="s">
        <v>1671</v>
      </c>
      <c r="K669" t="str">
        <f>HYPERLINK("https://www.facebook.com/100000652184810")</f>
        <v>https://www.facebook.com/100000652184810</v>
      </c>
      <c r="M669" t="s">
        <v>30</v>
      </c>
      <c r="N669" t="s">
        <v>31</v>
      </c>
      <c r="O669" t="s">
        <v>880</v>
      </c>
      <c r="P669" t="str">
        <f>HYPERLINK("https://www.facebook.com/450700568661648")</f>
        <v>https://www.facebook.com/450700568661648</v>
      </c>
      <c r="Q669">
        <v>78964</v>
      </c>
      <c r="R669" t="s">
        <v>32</v>
      </c>
      <c r="S669" t="s">
        <v>33</v>
      </c>
      <c r="T669" t="s">
        <v>34</v>
      </c>
    </row>
    <row r="670" spans="1:22" ht="16">
      <c r="A670" t="s">
        <v>973</v>
      </c>
      <c r="B670" t="s">
        <v>928</v>
      </c>
      <c r="C670" t="s">
        <v>80</v>
      </c>
      <c r="D670" t="s">
        <v>1988</v>
      </c>
      <c r="E670" t="s">
        <v>74</v>
      </c>
      <c r="F670" t="s">
        <v>3</v>
      </c>
      <c r="G670" t="str">
        <f>HYPERLINK("https://www.facebook.com/permalink.php?story_fbid=pfbid02rbt51TUb57HR4F6gBd5FwSTuyaUp3gHvM6gsAExHboTPbUq2FdNvTKt3sBpRB8pml&amp;id=100006975138432&amp;comment_id=2068778590583704")</f>
        <v>https://www.facebook.com/permalink.php?story_fbid=pfbid02rbt51TUb57HR4F6gBd5FwSTuyaUp3gHvM6gsAExHboTPbUq2FdNvTKt3sBpRB8pml&amp;id=100006975138432&amp;comment_id=2068778590583704</v>
      </c>
      <c r="H670" t="s">
        <v>28</v>
      </c>
      <c r="I670" t="s">
        <v>1989</v>
      </c>
      <c r="K670" t="str">
        <f>HYPERLINK("https://www.facebook.com/100014439100112")</f>
        <v>https://www.facebook.com/100014439100112</v>
      </c>
      <c r="M670" t="s">
        <v>30</v>
      </c>
      <c r="N670" t="s">
        <v>31</v>
      </c>
      <c r="O670" t="s">
        <v>1399</v>
      </c>
      <c r="P670" t="str">
        <f>HYPERLINK("https://www.facebook.com/100006975138432")</f>
        <v>https://www.facebook.com/100006975138432</v>
      </c>
      <c r="R670" t="s">
        <v>32</v>
      </c>
      <c r="S670" t="s">
        <v>33</v>
      </c>
      <c r="T670" t="s">
        <v>34</v>
      </c>
      <c r="U670" t="s">
        <v>1685</v>
      </c>
      <c r="V670" t="s">
        <v>1990</v>
      </c>
    </row>
    <row r="671" spans="1:22" ht="16">
      <c r="A671" t="s">
        <v>973</v>
      </c>
      <c r="B671" t="s">
        <v>1991</v>
      </c>
      <c r="C671" t="s">
        <v>80</v>
      </c>
      <c r="D671" t="s">
        <v>1992</v>
      </c>
      <c r="E671" t="s">
        <v>74</v>
      </c>
      <c r="F671" t="s">
        <v>3</v>
      </c>
      <c r="G671" t="str">
        <f>HYPERLINK("https://www.facebook.com/lidiya.staford/posts/pfbid0JWixA3pf57gGwRcMRFMxNxBGCZF5WMtC4sCf7PKWm5fD3gMy62s7TcZv6E9Ua7yTl?comment_id=1255066053238533")</f>
        <v>https://www.facebook.com/lidiya.staford/posts/pfbid0JWixA3pf57gGwRcMRFMxNxBGCZF5WMtC4sCf7PKWm5fD3gMy62s7TcZv6E9Ua7yTl?comment_id=1255066053238533</v>
      </c>
      <c r="H671" t="s">
        <v>28</v>
      </c>
      <c r="I671" t="s">
        <v>1993</v>
      </c>
      <c r="J671" t="s">
        <v>1994</v>
      </c>
      <c r="K671" t="str">
        <f>HYPERLINK("https://www.facebook.com/100003948819694")</f>
        <v>https://www.facebook.com/100003948819694</v>
      </c>
      <c r="M671" t="s">
        <v>30</v>
      </c>
      <c r="N671" t="s">
        <v>31</v>
      </c>
      <c r="O671" t="s">
        <v>1966</v>
      </c>
      <c r="P671" t="str">
        <f>HYPERLINK("https://www.facebook.com/61550065765626")</f>
        <v>https://www.facebook.com/61550065765626</v>
      </c>
      <c r="R671" t="s">
        <v>32</v>
      </c>
      <c r="S671" t="s">
        <v>57</v>
      </c>
      <c r="T671" t="s">
        <v>86</v>
      </c>
      <c r="U671" t="s">
        <v>1995</v>
      </c>
      <c r="V671" t="s">
        <v>1996</v>
      </c>
    </row>
    <row r="672" spans="1:22" ht="16">
      <c r="A672" t="s">
        <v>973</v>
      </c>
      <c r="B672" t="s">
        <v>1991</v>
      </c>
      <c r="C672" t="s">
        <v>80</v>
      </c>
      <c r="D672" t="s">
        <v>1997</v>
      </c>
      <c r="E672" t="s">
        <v>74</v>
      </c>
      <c r="F672" t="s">
        <v>3</v>
      </c>
      <c r="G672" t="str">
        <f>HYPERLINK("https://www.facebook.com/permalink.php?story_fbid=pfbid02rbt51TUb57HR4F6gBd5FwSTuyaUp3gHvM6gsAExHboTPbUq2FdNvTKt3sBpRB8pml&amp;id=100006975138432&amp;comment_id=1146962814073430")</f>
        <v>https://www.facebook.com/permalink.php?story_fbid=pfbid02rbt51TUb57HR4F6gBd5FwSTuyaUp3gHvM6gsAExHboTPbUq2FdNvTKt3sBpRB8pml&amp;id=100006975138432&amp;comment_id=1146962814073430</v>
      </c>
      <c r="H672" t="s">
        <v>28</v>
      </c>
      <c r="I672" t="s">
        <v>1998</v>
      </c>
      <c r="K672" t="str">
        <f>HYPERLINK("https://www.facebook.com/100010911694101")</f>
        <v>https://www.facebook.com/100010911694101</v>
      </c>
      <c r="M672" t="s">
        <v>30</v>
      </c>
      <c r="N672" t="s">
        <v>31</v>
      </c>
      <c r="O672" t="s">
        <v>1399</v>
      </c>
      <c r="P672" t="str">
        <f>HYPERLINK("https://www.facebook.com/100006975138432")</f>
        <v>https://www.facebook.com/100006975138432</v>
      </c>
      <c r="R672" t="s">
        <v>32</v>
      </c>
      <c r="S672" t="s">
        <v>85</v>
      </c>
      <c r="T672" t="s">
        <v>34</v>
      </c>
      <c r="U672" t="s">
        <v>167</v>
      </c>
      <c r="V672" t="s">
        <v>752</v>
      </c>
    </row>
    <row r="673" spans="1:19" ht="16">
      <c r="A673" t="s">
        <v>973</v>
      </c>
      <c r="B673" t="s">
        <v>1999</v>
      </c>
      <c r="C673" t="s">
        <v>24</v>
      </c>
      <c r="D673" t="s">
        <v>44</v>
      </c>
      <c r="E673" t="s">
        <v>45</v>
      </c>
      <c r="F673" t="s">
        <v>46</v>
      </c>
      <c r="G673" t="str">
        <f>HYPERLINK("https://www.facebook.com/2712831522415011")</f>
        <v>https://www.facebook.com/2712831522415011</v>
      </c>
      <c r="H673" t="s">
        <v>28</v>
      </c>
      <c r="I673" t="s">
        <v>2000</v>
      </c>
      <c r="K673" t="str">
        <f>HYPERLINK("https://www.facebook.com/100010645690298")</f>
        <v>https://www.facebook.com/100010645690298</v>
      </c>
      <c r="M673" t="s">
        <v>30</v>
      </c>
      <c r="N673" t="s">
        <v>31</v>
      </c>
      <c r="O673" t="s">
        <v>2000</v>
      </c>
      <c r="P673" t="str">
        <f>HYPERLINK("https://www.facebook.com/100010645690298")</f>
        <v>https://www.facebook.com/100010645690298</v>
      </c>
      <c r="R673" t="s">
        <v>32</v>
      </c>
      <c r="S673" t="s">
        <v>33</v>
      </c>
    </row>
    <row r="674" spans="1:22" ht="16">
      <c r="A674" t="s">
        <v>973</v>
      </c>
      <c r="B674" t="s">
        <v>2001</v>
      </c>
      <c r="C674" t="s">
        <v>80</v>
      </c>
      <c r="D674" t="s">
        <v>2002</v>
      </c>
      <c r="E674" t="s">
        <v>74</v>
      </c>
      <c r="F674" t="s">
        <v>3</v>
      </c>
      <c r="G674" t="str">
        <f>HYPERLINK("https://www.facebook.com/permalink.php?story_fbid=pfbid02rbt51TUb57HR4F6gBd5FwSTuyaUp3gHvM6gsAExHboTPbUq2FdNvTKt3sBpRB8pml&amp;id=100006975138432&amp;comment_id=1894303778638772")</f>
        <v>https://www.facebook.com/permalink.php?story_fbid=pfbid02rbt51TUb57HR4F6gBd5FwSTuyaUp3gHvM6gsAExHboTPbUq2FdNvTKt3sBpRB8pml&amp;id=100006975138432&amp;comment_id=1894303778638772</v>
      </c>
      <c r="H674" t="s">
        <v>28</v>
      </c>
      <c r="I674" t="s">
        <v>2003</v>
      </c>
      <c r="K674" t="str">
        <f>HYPERLINK("https://www.facebook.com/100052185383096")</f>
        <v>https://www.facebook.com/100052185383096</v>
      </c>
      <c r="M674" t="s">
        <v>30</v>
      </c>
      <c r="N674" t="s">
        <v>31</v>
      </c>
      <c r="O674" t="s">
        <v>1399</v>
      </c>
      <c r="P674" t="str">
        <f>HYPERLINK("https://www.facebook.com/100006975138432")</f>
        <v>https://www.facebook.com/100006975138432</v>
      </c>
      <c r="R674" t="s">
        <v>32</v>
      </c>
      <c r="S674" t="s">
        <v>2004</v>
      </c>
      <c r="T674" t="s">
        <v>34</v>
      </c>
      <c r="U674" t="s">
        <v>542</v>
      </c>
      <c r="V674" t="s">
        <v>2005</v>
      </c>
    </row>
    <row r="675" spans="1:20" ht="16">
      <c r="A675" t="s">
        <v>973</v>
      </c>
      <c r="B675" t="s">
        <v>2006</v>
      </c>
      <c r="C675" t="s">
        <v>24</v>
      </c>
      <c r="D675" t="s">
        <v>2007</v>
      </c>
      <c r="E675" t="s">
        <v>45</v>
      </c>
      <c r="F675" t="s">
        <v>281</v>
      </c>
      <c r="G675" t="str">
        <f>HYPERLINK("https://twitter.com/veseluk_44/status/2027549494733111585")</f>
        <v>https://twitter.com/veseluk_44/status/2027549494733111585</v>
      </c>
      <c r="H675" t="s">
        <v>28</v>
      </c>
      <c r="I675" t="s">
        <v>2008</v>
      </c>
      <c r="J675" t="s">
        <v>2009</v>
      </c>
      <c r="K675" t="str">
        <f>HYPERLINK("http://twitter.com/veseluk_44")</f>
        <v>http://twitter.com/veseluk_44</v>
      </c>
      <c r="L675">
        <v>770</v>
      </c>
      <c r="M675" t="s">
        <v>40</v>
      </c>
      <c r="N675" t="s">
        <v>278</v>
      </c>
      <c r="R675" t="s">
        <v>32</v>
      </c>
      <c r="S675" t="s">
        <v>33</v>
      </c>
      <c r="T675" t="s">
        <v>34</v>
      </c>
    </row>
    <row r="676" spans="1:20" ht="16">
      <c r="A676" t="s">
        <v>973</v>
      </c>
      <c r="B676" t="s">
        <v>2010</v>
      </c>
      <c r="C676" t="s">
        <v>24</v>
      </c>
      <c r="D676" t="s">
        <v>2007</v>
      </c>
      <c r="E676" t="s">
        <v>45</v>
      </c>
      <c r="F676" t="s">
        <v>281</v>
      </c>
      <c r="G676" t="str">
        <f>HYPERLINK("https://twitter.com/Zap0rozhets/status/2027548438057926905")</f>
        <v>https://twitter.com/Zap0rozhets/status/2027548438057926905</v>
      </c>
      <c r="H676" t="s">
        <v>28</v>
      </c>
      <c r="I676" t="s">
        <v>2011</v>
      </c>
      <c r="J676" t="s">
        <v>2012</v>
      </c>
      <c r="K676" t="str">
        <f>HYPERLINK("http://twitter.com/Zap0rozhets")</f>
        <v>http://twitter.com/Zap0rozhets</v>
      </c>
      <c r="L676">
        <v>317</v>
      </c>
      <c r="M676" t="s">
        <v>40</v>
      </c>
      <c r="N676" t="s">
        <v>278</v>
      </c>
      <c r="R676" t="s">
        <v>32</v>
      </c>
      <c r="S676" t="s">
        <v>33</v>
      </c>
      <c r="T676" t="s">
        <v>34</v>
      </c>
    </row>
    <row r="677" spans="1:22" ht="16">
      <c r="A677" t="s">
        <v>973</v>
      </c>
      <c r="B677" t="s">
        <v>2013</v>
      </c>
      <c r="C677" t="s">
        <v>80</v>
      </c>
      <c r="D677" t="s">
        <v>2014</v>
      </c>
      <c r="E677" t="s">
        <v>74</v>
      </c>
      <c r="F677" t="s">
        <v>3</v>
      </c>
      <c r="G677" t="str">
        <f>HYPERLINK("https://www.facebook.com/permalink.php?story_fbid=pfbid02rbt51TUb57HR4F6gBd5FwSTuyaUp3gHvM6gsAExHboTPbUq2FdNvTKt3sBpRB8pml&amp;id=100006975138432&amp;comment_id=1988221365104473&amp;reply_comment_id=2139919703449547")</f>
        <v>https://www.facebook.com/permalink.php?story_fbid=pfbid02rbt51TUb57HR4F6gBd5FwSTuyaUp3gHvM6gsAExHboTPbUq2FdNvTKt3sBpRB8pml&amp;id=100006975138432&amp;comment_id=1988221365104473&amp;reply_comment_id=2139919703449547</v>
      </c>
      <c r="H677" t="s">
        <v>28</v>
      </c>
      <c r="I677" t="s">
        <v>2015</v>
      </c>
      <c r="J677" t="s">
        <v>2016</v>
      </c>
      <c r="K677" t="str">
        <f>HYPERLINK("https://www.facebook.com/100031273294262")</f>
        <v>https://www.facebook.com/100031273294262</v>
      </c>
      <c r="M677" t="s">
        <v>30</v>
      </c>
      <c r="N677" t="s">
        <v>31</v>
      </c>
      <c r="O677" t="s">
        <v>1399</v>
      </c>
      <c r="P677" t="str">
        <f>HYPERLINK("https://www.facebook.com/100006975138432")</f>
        <v>https://www.facebook.com/100006975138432</v>
      </c>
      <c r="R677" t="s">
        <v>32</v>
      </c>
      <c r="S677" t="s">
        <v>33</v>
      </c>
      <c r="T677" t="s">
        <v>117</v>
      </c>
      <c r="U677" t="s">
        <v>2017</v>
      </c>
      <c r="V677" t="s">
        <v>2017</v>
      </c>
    </row>
    <row r="678" spans="1:22" ht="16">
      <c r="A678" t="s">
        <v>973</v>
      </c>
      <c r="B678" t="s">
        <v>2018</v>
      </c>
      <c r="C678" t="s">
        <v>80</v>
      </c>
      <c r="D678" t="s">
        <v>2019</v>
      </c>
      <c r="E678" t="s">
        <v>74</v>
      </c>
      <c r="F678" t="s">
        <v>3</v>
      </c>
      <c r="G678" t="str">
        <f>HYPERLINK("https://www.facebook.com/permalink.php?story_fbid=pfbid02rbt51TUb57HR4F6gBd5FwSTuyaUp3gHvM6gsAExHboTPbUq2FdNvTKt3sBpRB8pml&amp;id=100006975138432&amp;comment_id=4565075063775094")</f>
        <v>https://www.facebook.com/permalink.php?story_fbid=pfbid02rbt51TUb57HR4F6gBd5FwSTuyaUp3gHvM6gsAExHboTPbUq2FdNvTKt3sBpRB8pml&amp;id=100006975138432&amp;comment_id=4565075063775094</v>
      </c>
      <c r="H678" t="s">
        <v>28</v>
      </c>
      <c r="I678" t="s">
        <v>2020</v>
      </c>
      <c r="K678" t="str">
        <f>HYPERLINK("https://www.facebook.com/100009405439000")</f>
        <v>https://www.facebook.com/100009405439000</v>
      </c>
      <c r="M678" t="s">
        <v>30</v>
      </c>
      <c r="N678" t="s">
        <v>31</v>
      </c>
      <c r="O678" t="s">
        <v>1399</v>
      </c>
      <c r="P678" t="str">
        <f>HYPERLINK("https://www.facebook.com/100006975138432")</f>
        <v>https://www.facebook.com/100006975138432</v>
      </c>
      <c r="R678" t="s">
        <v>32</v>
      </c>
      <c r="S678" t="s">
        <v>33</v>
      </c>
      <c r="T678" t="s">
        <v>86</v>
      </c>
      <c r="U678" t="s">
        <v>127</v>
      </c>
      <c r="V678" t="s">
        <v>2021</v>
      </c>
    </row>
    <row r="679" spans="1:22" ht="16">
      <c r="A679" t="s">
        <v>973</v>
      </c>
      <c r="B679" t="s">
        <v>2022</v>
      </c>
      <c r="C679" t="s">
        <v>80</v>
      </c>
      <c r="D679" t="s">
        <v>2023</v>
      </c>
      <c r="E679" t="s">
        <v>74</v>
      </c>
      <c r="F679" t="s">
        <v>3</v>
      </c>
      <c r="G679" t="str">
        <f>HYPERLINK("https://www.facebook.com/permalink.php?story_fbid=pfbid02rbt51TUb57HR4F6gBd5FwSTuyaUp3gHvM6gsAExHboTPbUq2FdNvTKt3sBpRB8pml&amp;id=100006975138432&amp;comment_id=1657111045707834")</f>
        <v>https://www.facebook.com/permalink.php?story_fbid=pfbid02rbt51TUb57HR4F6gBd5FwSTuyaUp3gHvM6gsAExHboTPbUq2FdNvTKt3sBpRB8pml&amp;id=100006975138432&amp;comment_id=1657111045707834</v>
      </c>
      <c r="H679" t="s">
        <v>28</v>
      </c>
      <c r="I679" t="s">
        <v>2024</v>
      </c>
      <c r="K679" t="str">
        <f>HYPERLINK("https://www.facebook.com/100013672966009")</f>
        <v>https://www.facebook.com/100013672966009</v>
      </c>
      <c r="M679" t="s">
        <v>40</v>
      </c>
      <c r="N679" t="s">
        <v>31</v>
      </c>
      <c r="O679" t="s">
        <v>1399</v>
      </c>
      <c r="P679" t="str">
        <f>HYPERLINK("https://www.facebook.com/100006975138432")</f>
        <v>https://www.facebook.com/100006975138432</v>
      </c>
      <c r="R679" t="s">
        <v>32</v>
      </c>
      <c r="S679" t="s">
        <v>57</v>
      </c>
      <c r="T679" t="s">
        <v>34</v>
      </c>
      <c r="U679" t="s">
        <v>173</v>
      </c>
      <c r="V679" t="s">
        <v>2025</v>
      </c>
    </row>
    <row r="680" spans="1:19" ht="16">
      <c r="A680" t="s">
        <v>973</v>
      </c>
      <c r="B680" t="s">
        <v>2026</v>
      </c>
      <c r="C680" t="s">
        <v>24</v>
      </c>
      <c r="D680" t="s">
        <v>44</v>
      </c>
      <c r="E680" t="s">
        <v>45</v>
      </c>
      <c r="F680" t="s">
        <v>46</v>
      </c>
      <c r="G680" t="str">
        <f>HYPERLINK("https://www.facebook.com/2109307626486597")</f>
        <v>https://www.facebook.com/2109307626486597</v>
      </c>
      <c r="H680" t="s">
        <v>28</v>
      </c>
      <c r="I680" t="s">
        <v>2027</v>
      </c>
      <c r="K680" t="str">
        <f>HYPERLINK("https://www.facebook.com/100022221390550")</f>
        <v>https://www.facebook.com/100022221390550</v>
      </c>
      <c r="M680" t="s">
        <v>30</v>
      </c>
      <c r="N680" t="s">
        <v>31</v>
      </c>
      <c r="O680" t="s">
        <v>2027</v>
      </c>
      <c r="P680" t="str">
        <f>HYPERLINK("https://www.facebook.com/100022221390550")</f>
        <v>https://www.facebook.com/100022221390550</v>
      </c>
      <c r="R680" t="s">
        <v>32</v>
      </c>
      <c r="S680" t="s">
        <v>33</v>
      </c>
    </row>
    <row r="681" spans="1:22" ht="16">
      <c r="A681" t="s">
        <v>973</v>
      </c>
      <c r="B681" t="s">
        <v>2028</v>
      </c>
      <c r="C681" t="s">
        <v>768</v>
      </c>
      <c r="D681" t="s">
        <v>2029</v>
      </c>
      <c r="E681" t="s">
        <v>74</v>
      </c>
      <c r="F681" t="s">
        <v>3</v>
      </c>
      <c r="G681" t="str">
        <f>HYPERLINK("https://www.facebook.com/toyelviv/posts/pfbid02HyVHmdRrHaKvpJCV4k8sSATEQmB44tvrgpepSrJQ66Qs74jVAzPQ6qaz5ZMHUoNBl?comment_id=25944602808539676")</f>
        <v>https://www.facebook.com/toyelviv/posts/pfbid02HyVHmdRrHaKvpJCV4k8sSATEQmB44tvrgpepSrJQ66Qs74jVAzPQ6qaz5ZMHUoNBl?comment_id=25944602808539676</v>
      </c>
      <c r="H681" t="s">
        <v>28</v>
      </c>
      <c r="I681" t="s">
        <v>2030</v>
      </c>
      <c r="J681" t="s">
        <v>2031</v>
      </c>
      <c r="K681" t="str">
        <f>HYPERLINK("https://www.facebook.com/100002102847307")</f>
        <v>https://www.facebook.com/100002102847307</v>
      </c>
      <c r="M681" t="s">
        <v>40</v>
      </c>
      <c r="N681" t="s">
        <v>31</v>
      </c>
      <c r="O681" t="s">
        <v>1559</v>
      </c>
      <c r="P681" t="str">
        <f>HYPERLINK("https://www.facebook.com/320892981422193")</f>
        <v>https://www.facebook.com/320892981422193</v>
      </c>
      <c r="Q681">
        <v>293869</v>
      </c>
      <c r="R681" t="s">
        <v>32</v>
      </c>
      <c r="S681" t="s">
        <v>33</v>
      </c>
      <c r="T681" t="s">
        <v>92</v>
      </c>
      <c r="U681" t="s">
        <v>2032</v>
      </c>
      <c r="V681" t="s">
        <v>2033</v>
      </c>
    </row>
    <row r="682" spans="1:22" ht="16">
      <c r="A682" t="s">
        <v>973</v>
      </c>
      <c r="B682" t="s">
        <v>2028</v>
      </c>
      <c r="C682" t="s">
        <v>80</v>
      </c>
      <c r="D682" t="s">
        <v>2034</v>
      </c>
      <c r="E682" t="s">
        <v>74</v>
      </c>
      <c r="F682" t="s">
        <v>3</v>
      </c>
      <c r="G682" t="str">
        <f>HYPERLINK("https://www.facebook.com/permalink.php?story_fbid=pfbid02rbt51TUb57HR4F6gBd5FwSTuyaUp3gHvM6gsAExHboTPbUq2FdNvTKt3sBpRB8pml&amp;id=100006975138432&amp;comment_id=26108365365461312")</f>
        <v>https://www.facebook.com/permalink.php?story_fbid=pfbid02rbt51TUb57HR4F6gBd5FwSTuyaUp3gHvM6gsAExHboTPbUq2FdNvTKt3sBpRB8pml&amp;id=100006975138432&amp;comment_id=26108365365461312</v>
      </c>
      <c r="H682" t="s">
        <v>28</v>
      </c>
      <c r="I682" t="s">
        <v>2035</v>
      </c>
      <c r="K682" t="str">
        <f>HYPERLINK("https://www.facebook.com/100000276390368")</f>
        <v>https://www.facebook.com/100000276390368</v>
      </c>
      <c r="M682" t="s">
        <v>40</v>
      </c>
      <c r="N682" t="s">
        <v>31</v>
      </c>
      <c r="O682" t="s">
        <v>1399</v>
      </c>
      <c r="P682" t="str">
        <f>HYPERLINK("https://www.facebook.com/100006975138432")</f>
        <v>https://www.facebook.com/100006975138432</v>
      </c>
      <c r="R682" t="s">
        <v>32</v>
      </c>
      <c r="S682" t="s">
        <v>57</v>
      </c>
      <c r="T682" t="s">
        <v>34</v>
      </c>
      <c r="U682" t="s">
        <v>58</v>
      </c>
      <c r="V682" t="s">
        <v>58</v>
      </c>
    </row>
    <row r="683" spans="1:20" ht="16">
      <c r="A683" t="s">
        <v>973</v>
      </c>
      <c r="B683" t="s">
        <v>2036</v>
      </c>
      <c r="C683" t="s">
        <v>24</v>
      </c>
      <c r="D683" t="s">
        <v>2007</v>
      </c>
      <c r="E683" t="s">
        <v>45</v>
      </c>
      <c r="F683" t="s">
        <v>281</v>
      </c>
      <c r="G683" t="str">
        <f>HYPERLINK("https://twitter.com/MerlLin88567357/status/2027544334434771089")</f>
        <v>https://twitter.com/MerlLin88567357/status/2027544334434771089</v>
      </c>
      <c r="H683" t="s">
        <v>28</v>
      </c>
      <c r="I683" t="s">
        <v>2037</v>
      </c>
      <c r="J683" t="s">
        <v>2038</v>
      </c>
      <c r="K683" t="str">
        <f>HYPERLINK("http://twitter.com/MerlLin88567357")</f>
        <v>http://twitter.com/MerlLin88567357</v>
      </c>
      <c r="L683">
        <v>371</v>
      </c>
      <c r="N683" t="s">
        <v>278</v>
      </c>
      <c r="R683" t="s">
        <v>32</v>
      </c>
      <c r="S683" t="s">
        <v>33</v>
      </c>
      <c r="T683" t="s">
        <v>34</v>
      </c>
    </row>
    <row r="684" spans="1:19" ht="16">
      <c r="A684" t="s">
        <v>973</v>
      </c>
      <c r="B684" t="s">
        <v>938</v>
      </c>
      <c r="C684" t="s">
        <v>24</v>
      </c>
      <c r="D684" t="s">
        <v>44</v>
      </c>
      <c r="E684" t="s">
        <v>45</v>
      </c>
      <c r="F684" t="s">
        <v>46</v>
      </c>
      <c r="G684" t="str">
        <f>HYPERLINK("https://www.facebook.com/2065088780742161")</f>
        <v>https://www.facebook.com/2065088780742161</v>
      </c>
      <c r="H684" t="s">
        <v>28</v>
      </c>
      <c r="I684" t="s">
        <v>2039</v>
      </c>
      <c r="K684" t="str">
        <f>HYPERLINK("https://www.facebook.com/100017231765121")</f>
        <v>https://www.facebook.com/100017231765121</v>
      </c>
      <c r="M684" t="s">
        <v>30</v>
      </c>
      <c r="N684" t="s">
        <v>31</v>
      </c>
      <c r="O684" t="s">
        <v>2039</v>
      </c>
      <c r="P684" t="str">
        <f>HYPERLINK("https://www.facebook.com/100017231765121")</f>
        <v>https://www.facebook.com/100017231765121</v>
      </c>
      <c r="R684" t="s">
        <v>32</v>
      </c>
      <c r="S684" t="s">
        <v>33</v>
      </c>
    </row>
    <row r="685" spans="1:22" ht="16">
      <c r="A685" t="s">
        <v>973</v>
      </c>
      <c r="B685" t="s">
        <v>2040</v>
      </c>
      <c r="C685" t="s">
        <v>24</v>
      </c>
      <c r="D685" t="s">
        <v>44</v>
      </c>
      <c r="E685" t="s">
        <v>45</v>
      </c>
      <c r="F685" t="s">
        <v>46</v>
      </c>
      <c r="G685" t="str">
        <f>HYPERLINK("https://www.facebook.com/4338194833120266")</f>
        <v>https://www.facebook.com/4338194833120266</v>
      </c>
      <c r="H685" t="s">
        <v>28</v>
      </c>
      <c r="I685" t="s">
        <v>2041</v>
      </c>
      <c r="K685" t="str">
        <f>HYPERLINK("https://www.facebook.com/100007893759435")</f>
        <v>https://www.facebook.com/100007893759435</v>
      </c>
      <c r="M685" t="s">
        <v>30</v>
      </c>
      <c r="N685" t="s">
        <v>31</v>
      </c>
      <c r="O685" t="s">
        <v>2041</v>
      </c>
      <c r="P685" t="str">
        <f>HYPERLINK("https://www.facebook.com/100007893759435")</f>
        <v>https://www.facebook.com/100007893759435</v>
      </c>
      <c r="R685" t="s">
        <v>32</v>
      </c>
      <c r="S685" t="s">
        <v>33</v>
      </c>
      <c r="T685" t="s">
        <v>62</v>
      </c>
      <c r="U685" t="s">
        <v>691</v>
      </c>
      <c r="V685" t="s">
        <v>692</v>
      </c>
    </row>
    <row r="686" spans="1:22" ht="16">
      <c r="A686" t="s">
        <v>973</v>
      </c>
      <c r="B686" t="s">
        <v>2042</v>
      </c>
      <c r="C686" t="s">
        <v>80</v>
      </c>
      <c r="D686" t="s">
        <v>2043</v>
      </c>
      <c r="E686" t="s">
        <v>74</v>
      </c>
      <c r="F686" t="s">
        <v>3</v>
      </c>
      <c r="G686" t="str">
        <f>HYPERLINK("https://www.facebook.com/permalink.php?story_fbid=pfbid02rbt51TUb57HR4F6gBd5FwSTuyaUp3gHvM6gsAExHboTPbUq2FdNvTKt3sBpRB8pml&amp;id=100006975138432&amp;comment_id=2510286086093813")</f>
        <v>https://www.facebook.com/permalink.php?story_fbid=pfbid02rbt51TUb57HR4F6gBd5FwSTuyaUp3gHvM6gsAExHboTPbUq2FdNvTKt3sBpRB8pml&amp;id=100006975138432&amp;comment_id=2510286086093813</v>
      </c>
      <c r="H686" t="s">
        <v>28</v>
      </c>
      <c r="I686" t="s">
        <v>2044</v>
      </c>
      <c r="K686" t="str">
        <f>HYPERLINK("https://www.facebook.com/100090507513777")</f>
        <v>https://www.facebook.com/100090507513777</v>
      </c>
      <c r="M686" t="s">
        <v>30</v>
      </c>
      <c r="N686" t="s">
        <v>31</v>
      </c>
      <c r="O686" t="s">
        <v>1399</v>
      </c>
      <c r="P686" t="str">
        <f>HYPERLINK("https://www.facebook.com/100006975138432")</f>
        <v>https://www.facebook.com/100006975138432</v>
      </c>
      <c r="R686" t="s">
        <v>32</v>
      </c>
      <c r="S686" t="s">
        <v>33</v>
      </c>
      <c r="T686" t="s">
        <v>34</v>
      </c>
      <c r="U686" t="s">
        <v>58</v>
      </c>
      <c r="V686" t="s">
        <v>58</v>
      </c>
    </row>
    <row r="687" spans="1:22" ht="16">
      <c r="A687" t="s">
        <v>973</v>
      </c>
      <c r="B687" t="s">
        <v>2045</v>
      </c>
      <c r="C687" t="s">
        <v>80</v>
      </c>
      <c r="D687" t="s">
        <v>2046</v>
      </c>
      <c r="E687" t="s">
        <v>74</v>
      </c>
      <c r="F687" t="s">
        <v>3</v>
      </c>
      <c r="G687" t="str">
        <f>HYPERLINK("https://www.facebook.com/permalink.php?story_fbid=pfbid02rbt51TUb57HR4F6gBd5FwSTuyaUp3gHvM6gsAExHboTPbUq2FdNvTKt3sBpRB8pml&amp;id=100006975138432&amp;comment_id=26013342341680113")</f>
        <v>https://www.facebook.com/permalink.php?story_fbid=pfbid02rbt51TUb57HR4F6gBd5FwSTuyaUp3gHvM6gsAExHboTPbUq2FdNvTKt3sBpRB8pml&amp;id=100006975138432&amp;comment_id=26013342341680113</v>
      </c>
      <c r="H687" t="s">
        <v>28</v>
      </c>
      <c r="I687" t="s">
        <v>2047</v>
      </c>
      <c r="K687" t="str">
        <f>HYPERLINK("https://www.facebook.com/100022558565578")</f>
        <v>https://www.facebook.com/100022558565578</v>
      </c>
      <c r="M687" t="s">
        <v>40</v>
      </c>
      <c r="N687" t="s">
        <v>31</v>
      </c>
      <c r="O687" t="s">
        <v>1399</v>
      </c>
      <c r="P687" t="str">
        <f>HYPERLINK("https://www.facebook.com/100006975138432")</f>
        <v>https://www.facebook.com/100006975138432</v>
      </c>
      <c r="R687" t="s">
        <v>32</v>
      </c>
      <c r="S687" t="s">
        <v>33</v>
      </c>
      <c r="T687" t="s">
        <v>34</v>
      </c>
      <c r="U687" t="s">
        <v>58</v>
      </c>
      <c r="V687" t="s">
        <v>58</v>
      </c>
    </row>
    <row r="688" spans="1:22" ht="16">
      <c r="A688" t="s">
        <v>973</v>
      </c>
      <c r="B688" t="s">
        <v>2045</v>
      </c>
      <c r="C688" t="s">
        <v>768</v>
      </c>
      <c r="D688" t="s">
        <v>2048</v>
      </c>
      <c r="E688" t="s">
        <v>74</v>
      </c>
      <c r="F688" t="s">
        <v>3</v>
      </c>
      <c r="G688" t="str">
        <f>HYPERLINK("https://www.facebook.com/toyelviv/posts/pfbid02HyVHmdRrHaKvpJCV4k8sSATEQmB44tvrgpepSrJQ66Qs74jVAzPQ6qaz5ZMHUoNBl?comment_id=779272504768234&amp;reply_comment_id=910141801982697")</f>
        <v>https://www.facebook.com/toyelviv/posts/pfbid02HyVHmdRrHaKvpJCV4k8sSATEQmB44tvrgpepSrJQ66Qs74jVAzPQ6qaz5ZMHUoNBl?comment_id=779272504768234&amp;reply_comment_id=910141801982697</v>
      </c>
      <c r="H688" t="s">
        <v>28</v>
      </c>
      <c r="I688" t="s">
        <v>2049</v>
      </c>
      <c r="K688" t="str">
        <f>HYPERLINK("https://www.facebook.com/100009106333049")</f>
        <v>https://www.facebook.com/100009106333049</v>
      </c>
      <c r="M688" t="s">
        <v>30</v>
      </c>
      <c r="N688" t="s">
        <v>31</v>
      </c>
      <c r="O688" t="s">
        <v>1559</v>
      </c>
      <c r="P688" t="str">
        <f>HYPERLINK("https://www.facebook.com/320892981422193")</f>
        <v>https://www.facebook.com/320892981422193</v>
      </c>
      <c r="Q688">
        <v>293869</v>
      </c>
      <c r="R688" t="s">
        <v>32</v>
      </c>
      <c r="S688" t="s">
        <v>85</v>
      </c>
      <c r="T688" t="s">
        <v>34</v>
      </c>
      <c r="U688" t="s">
        <v>167</v>
      </c>
      <c r="V688" t="s">
        <v>2050</v>
      </c>
    </row>
    <row r="689" spans="1:22" ht="16">
      <c r="A689" t="s">
        <v>973</v>
      </c>
      <c r="B689" t="s">
        <v>2051</v>
      </c>
      <c r="C689" t="s">
        <v>80</v>
      </c>
      <c r="D689" t="s">
        <v>2052</v>
      </c>
      <c r="E689" t="s">
        <v>74</v>
      </c>
      <c r="F689" t="s">
        <v>3</v>
      </c>
      <c r="G689" t="str">
        <f>HYPERLINK("https://www.facebook.com/permalink.php?story_fbid=pfbid02rbt51TUb57HR4F6gBd5FwSTuyaUp3gHvM6gsAExHboTPbUq2FdNvTKt3sBpRB8pml&amp;id=100006975138432&amp;comment_id=1641771670573176")</f>
        <v>https://www.facebook.com/permalink.php?story_fbid=pfbid02rbt51TUb57HR4F6gBd5FwSTuyaUp3gHvM6gsAExHboTPbUq2FdNvTKt3sBpRB8pml&amp;id=100006975138432&amp;comment_id=1641771670573176</v>
      </c>
      <c r="H689" t="s">
        <v>28</v>
      </c>
      <c r="I689" t="s">
        <v>2053</v>
      </c>
      <c r="K689" t="str">
        <f>HYPERLINK("https://www.facebook.com/100061014955217")</f>
        <v>https://www.facebook.com/100061014955217</v>
      </c>
      <c r="M689" t="s">
        <v>40</v>
      </c>
      <c r="N689" t="s">
        <v>31</v>
      </c>
      <c r="O689" t="s">
        <v>1399</v>
      </c>
      <c r="P689" t="str">
        <f>HYPERLINK("https://www.facebook.com/100006975138432")</f>
        <v>https://www.facebook.com/100006975138432</v>
      </c>
      <c r="R689" t="s">
        <v>32</v>
      </c>
      <c r="S689" t="s">
        <v>57</v>
      </c>
      <c r="T689" t="s">
        <v>34</v>
      </c>
      <c r="U689" t="s">
        <v>58</v>
      </c>
      <c r="V689" t="s">
        <v>58</v>
      </c>
    </row>
    <row r="690" spans="1:22" ht="16">
      <c r="A690" t="s">
        <v>973</v>
      </c>
      <c r="B690" t="s">
        <v>2054</v>
      </c>
      <c r="C690" t="s">
        <v>80</v>
      </c>
      <c r="D690" t="s">
        <v>2055</v>
      </c>
      <c r="E690" t="s">
        <v>74</v>
      </c>
      <c r="F690" t="s">
        <v>3</v>
      </c>
      <c r="G690" t="str">
        <f>HYPERLINK("https://www.facebook.com/permalink.php?story_fbid=pfbid02rbt51TUb57HR4F6gBd5FwSTuyaUp3gHvM6gsAExHboTPbUq2FdNvTKt3sBpRB8pml&amp;id=100006975138432&amp;comment_id=2249910979164489")</f>
        <v>https://www.facebook.com/permalink.php?story_fbid=pfbid02rbt51TUb57HR4F6gBd5FwSTuyaUp3gHvM6gsAExHboTPbUq2FdNvTKt3sBpRB8pml&amp;id=100006975138432&amp;comment_id=2249910979164489</v>
      </c>
      <c r="H690" t="s">
        <v>28</v>
      </c>
      <c r="I690" t="s">
        <v>2056</v>
      </c>
      <c r="K690" t="str">
        <f>HYPERLINK("https://www.facebook.com/100056652146329")</f>
        <v>https://www.facebook.com/100056652146329</v>
      </c>
      <c r="M690" t="s">
        <v>30</v>
      </c>
      <c r="N690" t="s">
        <v>31</v>
      </c>
      <c r="O690" t="s">
        <v>1399</v>
      </c>
      <c r="P690" t="str">
        <f>HYPERLINK("https://www.facebook.com/100006975138432")</f>
        <v>https://www.facebook.com/100006975138432</v>
      </c>
      <c r="R690" t="s">
        <v>32</v>
      </c>
      <c r="S690" t="s">
        <v>33</v>
      </c>
      <c r="T690" t="s">
        <v>34</v>
      </c>
      <c r="U690" t="s">
        <v>58</v>
      </c>
      <c r="V690" t="s">
        <v>58</v>
      </c>
    </row>
    <row r="691" spans="1:22" ht="16">
      <c r="A691" t="s">
        <v>973</v>
      </c>
      <c r="B691" t="s">
        <v>941</v>
      </c>
      <c r="C691" t="s">
        <v>80</v>
      </c>
      <c r="D691" t="s">
        <v>2057</v>
      </c>
      <c r="E691" t="s">
        <v>74</v>
      </c>
      <c r="F691" t="s">
        <v>3</v>
      </c>
      <c r="G691" t="str">
        <f>HYPERLINK("https://www.facebook.com/westukrnews/posts/pfbid05KpJzZfAmc7DG6HMNPojmy3FDtYQBjx33JCcksAdDUDGcWNSDnn66BSqDiowXeWol?comment_id=4276601599321873")</f>
        <v>https://www.facebook.com/westukrnews/posts/pfbid05KpJzZfAmc7DG6HMNPojmy3FDtYQBjx33JCcksAdDUDGcWNSDnn66BSqDiowXeWol?comment_id=4276601599321873</v>
      </c>
      <c r="H691" t="s">
        <v>28</v>
      </c>
      <c r="I691" t="s">
        <v>770</v>
      </c>
      <c r="K691" t="str">
        <f>HYPERLINK("https://www.facebook.com/61576148404980")</f>
        <v>https://www.facebook.com/61576148404980</v>
      </c>
      <c r="M691" t="s">
        <v>40</v>
      </c>
      <c r="N691" t="s">
        <v>31</v>
      </c>
      <c r="O691" t="s">
        <v>813</v>
      </c>
      <c r="P691" t="str">
        <f>HYPERLINK("https://www.facebook.com/264234810584424")</f>
        <v>https://www.facebook.com/264234810584424</v>
      </c>
      <c r="Q691">
        <v>559985</v>
      </c>
      <c r="R691" t="s">
        <v>32</v>
      </c>
      <c r="S691" t="s">
        <v>33</v>
      </c>
      <c r="T691" t="s">
        <v>199</v>
      </c>
      <c r="U691" t="s">
        <v>772</v>
      </c>
      <c r="V691" t="s">
        <v>773</v>
      </c>
    </row>
    <row r="692" spans="1:22" ht="16">
      <c r="A692" t="s">
        <v>973</v>
      </c>
      <c r="B692" t="s">
        <v>944</v>
      </c>
      <c r="C692" t="s">
        <v>80</v>
      </c>
      <c r="D692" t="s">
        <v>2058</v>
      </c>
      <c r="E692" t="s">
        <v>74</v>
      </c>
      <c r="F692" t="s">
        <v>3</v>
      </c>
      <c r="G692" t="str">
        <f>HYPERLINK("https://www.facebook.com/permalink.php?story_fbid=pfbid02rbt51TUb57HR4F6gBd5FwSTuyaUp3gHvM6gsAExHboTPbUq2FdNvTKt3sBpRB8pml&amp;id=100006975138432&amp;comment_id=1548022506274543")</f>
        <v>https://www.facebook.com/permalink.php?story_fbid=pfbid02rbt51TUb57HR4F6gBd5FwSTuyaUp3gHvM6gsAExHboTPbUq2FdNvTKt3sBpRB8pml&amp;id=100006975138432&amp;comment_id=1548022506274543</v>
      </c>
      <c r="H692" t="s">
        <v>28</v>
      </c>
      <c r="I692" t="s">
        <v>2059</v>
      </c>
      <c r="K692" t="str">
        <f>HYPERLINK("https://www.facebook.com/100004510966439")</f>
        <v>https://www.facebook.com/100004510966439</v>
      </c>
      <c r="M692" t="s">
        <v>30</v>
      </c>
      <c r="N692" t="s">
        <v>31</v>
      </c>
      <c r="O692" t="s">
        <v>1399</v>
      </c>
      <c r="P692" t="str">
        <f>HYPERLINK("https://www.facebook.com/100006975138432")</f>
        <v>https://www.facebook.com/100006975138432</v>
      </c>
      <c r="R692" t="s">
        <v>32</v>
      </c>
      <c r="S692" t="s">
        <v>85</v>
      </c>
      <c r="T692" t="s">
        <v>86</v>
      </c>
      <c r="U692" t="s">
        <v>2060</v>
      </c>
      <c r="V692" t="s">
        <v>2061</v>
      </c>
    </row>
    <row r="693" spans="1:19" ht="16">
      <c r="A693" t="s">
        <v>973</v>
      </c>
      <c r="B693" t="s">
        <v>2062</v>
      </c>
      <c r="C693" t="s">
        <v>24</v>
      </c>
      <c r="D693" t="s">
        <v>44</v>
      </c>
      <c r="E693" t="s">
        <v>45</v>
      </c>
      <c r="F693" t="s">
        <v>46</v>
      </c>
      <c r="G693" t="str">
        <f>HYPERLINK("https://www.facebook.com/2012596699615629")</f>
        <v>https://www.facebook.com/2012596699615629</v>
      </c>
      <c r="H693" t="s">
        <v>28</v>
      </c>
      <c r="I693" t="s">
        <v>2063</v>
      </c>
      <c r="K693" t="str">
        <f>HYPERLINK("https://www.facebook.com/100025959563595")</f>
        <v>https://www.facebook.com/100025959563595</v>
      </c>
      <c r="M693" t="s">
        <v>30</v>
      </c>
      <c r="N693" t="s">
        <v>31</v>
      </c>
      <c r="O693" t="s">
        <v>2063</v>
      </c>
      <c r="P693" t="str">
        <f>HYPERLINK("https://www.facebook.com/100025959563595")</f>
        <v>https://www.facebook.com/100025959563595</v>
      </c>
      <c r="R693" t="s">
        <v>32</v>
      </c>
      <c r="S693" t="s">
        <v>33</v>
      </c>
    </row>
    <row r="694" spans="1:22" ht="16">
      <c r="A694" t="s">
        <v>973</v>
      </c>
      <c r="B694" t="s">
        <v>2062</v>
      </c>
      <c r="C694" t="s">
        <v>24</v>
      </c>
      <c r="D694" t="s">
        <v>2007</v>
      </c>
      <c r="E694" t="s">
        <v>45</v>
      </c>
      <c r="F694" t="s">
        <v>281</v>
      </c>
      <c r="G694" t="str">
        <f>HYPERLINK("https://twitter.com/KoliaNikolaj/status/2027536999251398723")</f>
        <v>https://twitter.com/KoliaNikolaj/status/2027536999251398723</v>
      </c>
      <c r="H694" t="s">
        <v>28</v>
      </c>
      <c r="I694" t="s">
        <v>2064</v>
      </c>
      <c r="J694" t="s">
        <v>2065</v>
      </c>
      <c r="K694" t="str">
        <f>HYPERLINK("http://twitter.com/KoliaNikolaj")</f>
        <v>http://twitter.com/KoliaNikolaj</v>
      </c>
      <c r="L694">
        <v>374</v>
      </c>
      <c r="M694" t="s">
        <v>40</v>
      </c>
      <c r="N694" t="s">
        <v>278</v>
      </c>
      <c r="R694" t="s">
        <v>32</v>
      </c>
      <c r="S694" t="s">
        <v>33</v>
      </c>
      <c r="T694" t="s">
        <v>34</v>
      </c>
      <c r="U694" t="s">
        <v>41</v>
      </c>
      <c r="V694" t="s">
        <v>42</v>
      </c>
    </row>
    <row r="695" spans="1:19" ht="16">
      <c r="A695" t="s">
        <v>973</v>
      </c>
      <c r="B695" t="s">
        <v>2066</v>
      </c>
      <c r="C695" t="s">
        <v>24</v>
      </c>
      <c r="D695" t="s">
        <v>238</v>
      </c>
      <c r="E695" t="s">
        <v>45</v>
      </c>
      <c r="F695" t="s">
        <v>3</v>
      </c>
      <c r="G695" t="str">
        <f>HYPERLINK("https://www.facebook.com/935519112500631")</f>
        <v>https://www.facebook.com/935519112500631</v>
      </c>
      <c r="H695" t="s">
        <v>28</v>
      </c>
      <c r="I695" t="s">
        <v>2067</v>
      </c>
      <c r="K695" t="str">
        <f>HYPERLINK("https://www.facebook.com/100081276525995")</f>
        <v>https://www.facebook.com/100081276525995</v>
      </c>
      <c r="M695" t="s">
        <v>30</v>
      </c>
      <c r="N695" t="s">
        <v>31</v>
      </c>
      <c r="O695" t="s">
        <v>2067</v>
      </c>
      <c r="P695" t="str">
        <f>HYPERLINK("https://www.facebook.com/100081276525995")</f>
        <v>https://www.facebook.com/100081276525995</v>
      </c>
      <c r="R695" t="s">
        <v>32</v>
      </c>
      <c r="S695" t="s">
        <v>33</v>
      </c>
    </row>
    <row r="696" spans="1:22" ht="16">
      <c r="A696" t="s">
        <v>973</v>
      </c>
      <c r="B696" t="s">
        <v>2068</v>
      </c>
      <c r="C696" t="s">
        <v>80</v>
      </c>
      <c r="D696" t="s">
        <v>2069</v>
      </c>
      <c r="E696" t="s">
        <v>74</v>
      </c>
      <c r="F696" t="s">
        <v>3</v>
      </c>
      <c r="G696" t="str">
        <f>HYPERLINK("https://www.facebook.com/permalink.php?story_fbid=pfbid02rbt51TUb57HR4F6gBd5FwSTuyaUp3gHvM6gsAExHboTPbUq2FdNvTKt3sBpRB8pml&amp;id=100006975138432&amp;comment_id=931519773074798")</f>
        <v>https://www.facebook.com/permalink.php?story_fbid=pfbid02rbt51TUb57HR4F6gBd5FwSTuyaUp3gHvM6gsAExHboTPbUq2FdNvTKt3sBpRB8pml&amp;id=100006975138432&amp;comment_id=931519773074798</v>
      </c>
      <c r="H696" t="s">
        <v>28</v>
      </c>
      <c r="I696" t="s">
        <v>2070</v>
      </c>
      <c r="J696" t="s">
        <v>2071</v>
      </c>
      <c r="K696" t="str">
        <f>HYPERLINK("https://www.facebook.com/100026344161610")</f>
        <v>https://www.facebook.com/100026344161610</v>
      </c>
      <c r="M696" t="s">
        <v>30</v>
      </c>
      <c r="N696" t="s">
        <v>31</v>
      </c>
      <c r="O696" t="s">
        <v>1399</v>
      </c>
      <c r="P696" t="str">
        <f>HYPERLINK("https://www.facebook.com/100006975138432")</f>
        <v>https://www.facebook.com/100006975138432</v>
      </c>
      <c r="R696" t="s">
        <v>32</v>
      </c>
      <c r="S696" t="s">
        <v>33</v>
      </c>
      <c r="T696" t="s">
        <v>34</v>
      </c>
      <c r="U696" t="s">
        <v>58</v>
      </c>
      <c r="V696" t="s">
        <v>58</v>
      </c>
    </row>
    <row r="697" spans="1:22" ht="16">
      <c r="A697" t="s">
        <v>973</v>
      </c>
      <c r="B697" t="s">
        <v>2072</v>
      </c>
      <c r="C697" t="s">
        <v>80</v>
      </c>
      <c r="D697" t="s">
        <v>2073</v>
      </c>
      <c r="E697" t="s">
        <v>74</v>
      </c>
      <c r="F697" t="s">
        <v>3</v>
      </c>
      <c r="G697" t="str">
        <f>HYPERLINK("https://www.facebook.com/permalink.php?story_fbid=pfbid02rbt51TUb57HR4F6gBd5FwSTuyaUp3gHvM6gsAExHboTPbUq2FdNvTKt3sBpRB8pml&amp;id=100006975138432&amp;comment_id=1988221365104473")</f>
        <v>https://www.facebook.com/permalink.php?story_fbid=pfbid02rbt51TUb57HR4F6gBd5FwSTuyaUp3gHvM6gsAExHboTPbUq2FdNvTKt3sBpRB8pml&amp;id=100006975138432&amp;comment_id=1988221365104473</v>
      </c>
      <c r="H697" t="s">
        <v>28</v>
      </c>
      <c r="I697" t="s">
        <v>2074</v>
      </c>
      <c r="K697" t="str">
        <f>HYPERLINK("https://www.facebook.com/100023477853414")</f>
        <v>https://www.facebook.com/100023477853414</v>
      </c>
      <c r="M697" t="s">
        <v>30</v>
      </c>
      <c r="N697" t="s">
        <v>31</v>
      </c>
      <c r="O697" t="s">
        <v>1399</v>
      </c>
      <c r="P697" t="str">
        <f>HYPERLINK("https://www.facebook.com/100006975138432")</f>
        <v>https://www.facebook.com/100006975138432</v>
      </c>
      <c r="R697" t="s">
        <v>32</v>
      </c>
      <c r="S697" t="s">
        <v>33</v>
      </c>
      <c r="T697" t="s">
        <v>34</v>
      </c>
      <c r="U697" t="s">
        <v>58</v>
      </c>
      <c r="V697" t="s">
        <v>58</v>
      </c>
    </row>
    <row r="698" spans="1:19" ht="16">
      <c r="A698" t="s">
        <v>973</v>
      </c>
      <c r="B698" t="s">
        <v>2072</v>
      </c>
      <c r="C698" t="s">
        <v>24</v>
      </c>
      <c r="D698" t="s">
        <v>44</v>
      </c>
      <c r="E698" t="s">
        <v>45</v>
      </c>
      <c r="F698" t="s">
        <v>46</v>
      </c>
      <c r="G698" t="str">
        <f>HYPERLINK("https://www.facebook.com/2059582031556231")</f>
        <v>https://www.facebook.com/2059582031556231</v>
      </c>
      <c r="H698" t="s">
        <v>28</v>
      </c>
      <c r="I698" t="s">
        <v>84</v>
      </c>
      <c r="K698" t="str">
        <f>HYPERLINK("https://www.facebook.com/100025133615049")</f>
        <v>https://www.facebook.com/100025133615049</v>
      </c>
      <c r="M698" t="s">
        <v>30</v>
      </c>
      <c r="N698" t="s">
        <v>31</v>
      </c>
      <c r="O698" t="s">
        <v>84</v>
      </c>
      <c r="P698" t="str">
        <f>HYPERLINK("https://www.facebook.com/100025133615049")</f>
        <v>https://www.facebook.com/100025133615049</v>
      </c>
      <c r="R698" t="s">
        <v>32</v>
      </c>
      <c r="S698" t="s">
        <v>33</v>
      </c>
    </row>
    <row r="699" spans="1:20" ht="16">
      <c r="A699" t="s">
        <v>973</v>
      </c>
      <c r="B699" t="s">
        <v>2072</v>
      </c>
      <c r="C699" t="s">
        <v>768</v>
      </c>
      <c r="D699" t="s">
        <v>2075</v>
      </c>
      <c r="E699" t="s">
        <v>74</v>
      </c>
      <c r="F699" t="s">
        <v>3</v>
      </c>
      <c r="G699" t="str">
        <f>HYPERLINK("https://www.facebook.com/toyelviv/posts/pfbid02HyVHmdRrHaKvpJCV4k8sSATEQmB44tvrgpepSrJQ66Qs74jVAzPQ6qaz5ZMHUoNBl?comment_id=2132774690850754")</f>
        <v>https://www.facebook.com/toyelviv/posts/pfbid02HyVHmdRrHaKvpJCV4k8sSATEQmB44tvrgpepSrJQ66Qs74jVAzPQ6qaz5ZMHUoNBl?comment_id=2132774690850754</v>
      </c>
      <c r="H699" t="s">
        <v>28</v>
      </c>
      <c r="I699" t="s">
        <v>2076</v>
      </c>
      <c r="K699" t="str">
        <f>HYPERLINK("https://www.facebook.com/100031017392069")</f>
        <v>https://www.facebook.com/100031017392069</v>
      </c>
      <c r="M699" t="s">
        <v>30</v>
      </c>
      <c r="N699" t="s">
        <v>31</v>
      </c>
      <c r="O699" t="s">
        <v>1559</v>
      </c>
      <c r="P699" t="str">
        <f>HYPERLINK("https://www.facebook.com/320892981422193")</f>
        <v>https://www.facebook.com/320892981422193</v>
      </c>
      <c r="Q699">
        <v>293869</v>
      </c>
      <c r="R699" t="s">
        <v>32</v>
      </c>
      <c r="S699" t="s">
        <v>33</v>
      </c>
      <c r="T699" t="s">
        <v>34</v>
      </c>
    </row>
    <row r="700" spans="1:22" ht="16">
      <c r="A700" t="s">
        <v>973</v>
      </c>
      <c r="B700" t="s">
        <v>2077</v>
      </c>
      <c r="C700" t="s">
        <v>80</v>
      </c>
      <c r="D700" t="s">
        <v>2078</v>
      </c>
      <c r="E700" t="s">
        <v>74</v>
      </c>
      <c r="F700" t="s">
        <v>3</v>
      </c>
      <c r="G700" t="str">
        <f>HYPERLINK("https://www.facebook.com/permalink.php?story_fbid=pfbid02rbt51TUb57HR4F6gBd5FwSTuyaUp3gHvM6gsAExHboTPbUq2FdNvTKt3sBpRB8pml&amp;id=100006975138432&amp;comment_id=1963411085051817")</f>
        <v>https://www.facebook.com/permalink.php?story_fbid=pfbid02rbt51TUb57HR4F6gBd5FwSTuyaUp3gHvM6gsAExHboTPbUq2FdNvTKt3sBpRB8pml&amp;id=100006975138432&amp;comment_id=1963411085051817</v>
      </c>
      <c r="H700" t="s">
        <v>28</v>
      </c>
      <c r="I700" t="s">
        <v>2079</v>
      </c>
      <c r="K700" t="str">
        <f>HYPERLINK("https://www.facebook.com/100020638971071")</f>
        <v>https://www.facebook.com/100020638971071</v>
      </c>
      <c r="M700" t="s">
        <v>40</v>
      </c>
      <c r="N700" t="s">
        <v>31</v>
      </c>
      <c r="O700" t="s">
        <v>1399</v>
      </c>
      <c r="P700" t="str">
        <f>HYPERLINK("https://www.facebook.com/100006975138432")</f>
        <v>https://www.facebook.com/100006975138432</v>
      </c>
      <c r="R700" t="s">
        <v>32</v>
      </c>
      <c r="S700" t="s">
        <v>85</v>
      </c>
      <c r="T700" t="s">
        <v>34</v>
      </c>
      <c r="U700" t="s">
        <v>58</v>
      </c>
      <c r="V700" t="s">
        <v>58</v>
      </c>
    </row>
    <row r="701" spans="1:20" ht="16">
      <c r="A701" t="s">
        <v>973</v>
      </c>
      <c r="B701" t="s">
        <v>2080</v>
      </c>
      <c r="C701" t="s">
        <v>24</v>
      </c>
      <c r="D701" t="s">
        <v>2007</v>
      </c>
      <c r="E701" t="s">
        <v>45</v>
      </c>
      <c r="F701" t="s">
        <v>281</v>
      </c>
      <c r="G701" t="str">
        <f>HYPERLINK("https://twitter.com/MihailFrunze1/status/2027533843448713717")</f>
        <v>https://twitter.com/MihailFrunze1/status/2027533843448713717</v>
      </c>
      <c r="H701" t="s">
        <v>28</v>
      </c>
      <c r="I701" t="s">
        <v>2081</v>
      </c>
      <c r="J701" t="s">
        <v>2082</v>
      </c>
      <c r="K701" t="str">
        <f>HYPERLINK("http://twitter.com/MihailFrunze1")</f>
        <v>http://twitter.com/MihailFrunze1</v>
      </c>
      <c r="L701">
        <v>38</v>
      </c>
      <c r="M701" t="s">
        <v>40</v>
      </c>
      <c r="N701" t="s">
        <v>278</v>
      </c>
      <c r="R701" t="s">
        <v>32</v>
      </c>
      <c r="S701" t="s">
        <v>33</v>
      </c>
      <c r="T701" t="s">
        <v>34</v>
      </c>
    </row>
    <row r="702" spans="1:22" ht="16">
      <c r="A702" t="s">
        <v>973</v>
      </c>
      <c r="B702" t="s">
        <v>2083</v>
      </c>
      <c r="C702" t="s">
        <v>768</v>
      </c>
      <c r="D702" t="s">
        <v>2084</v>
      </c>
      <c r="E702" t="s">
        <v>74</v>
      </c>
      <c r="F702" t="s">
        <v>3</v>
      </c>
      <c r="G702" t="str">
        <f>HYPERLINK("https://www.facebook.com/toyelviv/posts/pfbid02HyVHmdRrHaKvpJCV4k8sSATEQmB44tvrgpepSrJQ66Qs74jVAzPQ6qaz5ZMHUoNBl?comment_id=869695269402162")</f>
        <v>https://www.facebook.com/toyelviv/posts/pfbid02HyVHmdRrHaKvpJCV4k8sSATEQmB44tvrgpepSrJQ66Qs74jVAzPQ6qaz5ZMHUoNBl?comment_id=869695269402162</v>
      </c>
      <c r="H702" t="s">
        <v>28</v>
      </c>
      <c r="I702" t="s">
        <v>2085</v>
      </c>
      <c r="J702" t="s">
        <v>2086</v>
      </c>
      <c r="K702" t="str">
        <f>HYPERLINK("https://www.facebook.com/100043777980801")</f>
        <v>https://www.facebook.com/100043777980801</v>
      </c>
      <c r="M702" t="s">
        <v>30</v>
      </c>
      <c r="N702" t="s">
        <v>31</v>
      </c>
      <c r="O702" t="s">
        <v>1559</v>
      </c>
      <c r="P702" t="str">
        <f>HYPERLINK("https://www.facebook.com/320892981422193")</f>
        <v>https://www.facebook.com/320892981422193</v>
      </c>
      <c r="Q702">
        <v>293869</v>
      </c>
      <c r="R702" t="s">
        <v>32</v>
      </c>
      <c r="S702" t="s">
        <v>33</v>
      </c>
      <c r="T702" t="s">
        <v>34</v>
      </c>
      <c r="U702" t="s">
        <v>41</v>
      </c>
      <c r="V702" t="s">
        <v>42</v>
      </c>
    </row>
    <row r="703" spans="1:19" ht="16">
      <c r="A703" t="s">
        <v>973</v>
      </c>
      <c r="B703" t="s">
        <v>2087</v>
      </c>
      <c r="C703" t="s">
        <v>24</v>
      </c>
      <c r="D703" t="s">
        <v>44</v>
      </c>
      <c r="E703" t="s">
        <v>45</v>
      </c>
      <c r="F703" t="s">
        <v>46</v>
      </c>
      <c r="G703" t="str">
        <f>HYPERLINK("https://www.facebook.com/10225077300759046")</f>
        <v>https://www.facebook.com/10225077300759046</v>
      </c>
      <c r="H703" t="s">
        <v>28</v>
      </c>
      <c r="I703" t="s">
        <v>2088</v>
      </c>
      <c r="K703" t="str">
        <f>HYPERLINK("https://www.facebook.com/1814238447")</f>
        <v>https://www.facebook.com/1814238447</v>
      </c>
      <c r="M703" t="s">
        <v>40</v>
      </c>
      <c r="N703" t="s">
        <v>31</v>
      </c>
      <c r="O703" t="s">
        <v>2088</v>
      </c>
      <c r="P703" t="str">
        <f>HYPERLINK("https://www.facebook.com/1814238447")</f>
        <v>https://www.facebook.com/1814238447</v>
      </c>
      <c r="R703" t="s">
        <v>32</v>
      </c>
      <c r="S703" t="s">
        <v>33</v>
      </c>
    </row>
    <row r="704" spans="1:22" ht="16">
      <c r="A704" t="s">
        <v>973</v>
      </c>
      <c r="B704" t="s">
        <v>2087</v>
      </c>
      <c r="C704" t="s">
        <v>80</v>
      </c>
      <c r="D704" t="s">
        <v>2089</v>
      </c>
      <c r="E704" t="s">
        <v>74</v>
      </c>
      <c r="F704" t="s">
        <v>3</v>
      </c>
      <c r="G704" t="str">
        <f>HYPERLINK("https://www.facebook.com/permalink.php?story_fbid=pfbid02rbt51TUb57HR4F6gBd5FwSTuyaUp3gHvM6gsAExHboTPbUq2FdNvTKt3sBpRB8pml&amp;id=100006975138432&amp;comment_id=2048461002665164")</f>
        <v>https://www.facebook.com/permalink.php?story_fbid=pfbid02rbt51TUb57HR4F6gBd5FwSTuyaUp3gHvM6gsAExHboTPbUq2FdNvTKt3sBpRB8pml&amp;id=100006975138432&amp;comment_id=2048461002665164</v>
      </c>
      <c r="H704" t="s">
        <v>28</v>
      </c>
      <c r="I704" t="s">
        <v>2090</v>
      </c>
      <c r="J704" t="s">
        <v>2091</v>
      </c>
      <c r="K704" t="str">
        <f>HYPERLINK("https://www.facebook.com/100003683437062")</f>
        <v>https://www.facebook.com/100003683437062</v>
      </c>
      <c r="M704" t="s">
        <v>40</v>
      </c>
      <c r="N704" t="s">
        <v>31</v>
      </c>
      <c r="O704" t="s">
        <v>1399</v>
      </c>
      <c r="P704" t="str">
        <f>HYPERLINK("https://www.facebook.com/100006975138432")</f>
        <v>https://www.facebook.com/100006975138432</v>
      </c>
      <c r="R704" t="s">
        <v>32</v>
      </c>
      <c r="S704" t="s">
        <v>33</v>
      </c>
      <c r="T704" t="s">
        <v>34</v>
      </c>
      <c r="U704" t="s">
        <v>58</v>
      </c>
      <c r="V704" t="s">
        <v>58</v>
      </c>
    </row>
    <row r="705" spans="1:22" ht="16">
      <c r="A705" t="s">
        <v>973</v>
      </c>
      <c r="B705" t="s">
        <v>2092</v>
      </c>
      <c r="C705" t="s">
        <v>80</v>
      </c>
      <c r="D705" t="s">
        <v>2093</v>
      </c>
      <c r="E705" t="s">
        <v>74</v>
      </c>
      <c r="F705" t="s">
        <v>3</v>
      </c>
      <c r="G705" t="str">
        <f>HYPERLINK("https://www.facebook.com/permalink.php?story_fbid=pfbid02rbt51TUb57HR4F6gBd5FwSTuyaUp3gHvM6gsAExHboTPbUq2FdNvTKt3sBpRB8pml&amp;id=100006975138432&amp;comment_id=786384297321392")</f>
        <v>https://www.facebook.com/permalink.php?story_fbid=pfbid02rbt51TUb57HR4F6gBd5FwSTuyaUp3gHvM6gsAExHboTPbUq2FdNvTKt3sBpRB8pml&amp;id=100006975138432&amp;comment_id=786384297321392</v>
      </c>
      <c r="H705" t="s">
        <v>28</v>
      </c>
      <c r="I705" t="s">
        <v>2094</v>
      </c>
      <c r="K705" t="str">
        <f>HYPERLINK("https://www.facebook.com/61555184121866")</f>
        <v>https://www.facebook.com/61555184121866</v>
      </c>
      <c r="M705" t="s">
        <v>30</v>
      </c>
      <c r="N705" t="s">
        <v>31</v>
      </c>
      <c r="O705" t="s">
        <v>1399</v>
      </c>
      <c r="P705" t="str">
        <f>HYPERLINK("https://www.facebook.com/100006975138432")</f>
        <v>https://www.facebook.com/100006975138432</v>
      </c>
      <c r="R705" t="s">
        <v>32</v>
      </c>
      <c r="S705" t="s">
        <v>33</v>
      </c>
      <c r="T705" t="s">
        <v>117</v>
      </c>
      <c r="U705" t="s">
        <v>1546</v>
      </c>
      <c r="V705" t="s">
        <v>2095</v>
      </c>
    </row>
    <row r="706" spans="1:22" ht="16">
      <c r="A706" t="s">
        <v>973</v>
      </c>
      <c r="B706" t="s">
        <v>2096</v>
      </c>
      <c r="C706" t="s">
        <v>80</v>
      </c>
      <c r="D706" t="s">
        <v>2097</v>
      </c>
      <c r="E706" t="s">
        <v>74</v>
      </c>
      <c r="F706" t="s">
        <v>3</v>
      </c>
      <c r="G706" t="str">
        <f>HYPERLINK("https://www.facebook.com/westukrnews/posts/pfbid05KpJzZfAmc7DG6HMNPojmy3FDtYQBjx33JCcksAdDUDGcWNSDnn66BSqDiowXeWol?comment_id=2380931945713438")</f>
        <v>https://www.facebook.com/westukrnews/posts/pfbid05KpJzZfAmc7DG6HMNPojmy3FDtYQBjx33JCcksAdDUDGcWNSDnn66BSqDiowXeWol?comment_id=2380931945713438</v>
      </c>
      <c r="H706" t="s">
        <v>28</v>
      </c>
      <c r="I706" t="s">
        <v>2098</v>
      </c>
      <c r="K706" t="str">
        <f>HYPERLINK("https://www.facebook.com/100000770401708")</f>
        <v>https://www.facebook.com/100000770401708</v>
      </c>
      <c r="M706" t="s">
        <v>30</v>
      </c>
      <c r="N706" t="s">
        <v>31</v>
      </c>
      <c r="O706" t="s">
        <v>813</v>
      </c>
      <c r="P706" t="str">
        <f>HYPERLINK("https://www.facebook.com/264234810584424")</f>
        <v>https://www.facebook.com/264234810584424</v>
      </c>
      <c r="Q706">
        <v>559985</v>
      </c>
      <c r="R706" t="s">
        <v>32</v>
      </c>
      <c r="S706" t="s">
        <v>1899</v>
      </c>
      <c r="T706" t="s">
        <v>34</v>
      </c>
      <c r="U706" t="s">
        <v>487</v>
      </c>
      <c r="V706" t="s">
        <v>814</v>
      </c>
    </row>
    <row r="707" spans="1:22" ht="16">
      <c r="A707" t="s">
        <v>973</v>
      </c>
      <c r="B707" t="s">
        <v>2099</v>
      </c>
      <c r="C707" t="s">
        <v>80</v>
      </c>
      <c r="D707" t="s">
        <v>2100</v>
      </c>
      <c r="E707" t="s">
        <v>74</v>
      </c>
      <c r="F707" t="s">
        <v>3</v>
      </c>
      <c r="G707" t="str">
        <f>HYPERLINK("https://www.facebook.com/permalink.php?story_fbid=pfbid02rbt51TUb57HR4F6gBd5FwSTuyaUp3gHvM6gsAExHboTPbUq2FdNvTKt3sBpRB8pml&amp;id=100006975138432&amp;comment_id=25769082216124655")</f>
        <v>https://www.facebook.com/permalink.php?story_fbid=pfbid02rbt51TUb57HR4F6gBd5FwSTuyaUp3gHvM6gsAExHboTPbUq2FdNvTKt3sBpRB8pml&amp;id=100006975138432&amp;comment_id=25769082216124655</v>
      </c>
      <c r="H707" t="s">
        <v>28</v>
      </c>
      <c r="I707" t="s">
        <v>2101</v>
      </c>
      <c r="K707" t="str">
        <f>HYPERLINK("https://www.facebook.com/100021679476065")</f>
        <v>https://www.facebook.com/100021679476065</v>
      </c>
      <c r="M707" t="s">
        <v>40</v>
      </c>
      <c r="N707" t="s">
        <v>31</v>
      </c>
      <c r="O707" t="s">
        <v>1399</v>
      </c>
      <c r="P707" t="str">
        <f>HYPERLINK("https://www.facebook.com/100006975138432")</f>
        <v>https://www.facebook.com/100006975138432</v>
      </c>
      <c r="R707" t="s">
        <v>32</v>
      </c>
      <c r="S707" t="s">
        <v>85</v>
      </c>
      <c r="T707" t="s">
        <v>34</v>
      </c>
      <c r="U707" t="s">
        <v>58</v>
      </c>
      <c r="V707" t="s">
        <v>58</v>
      </c>
    </row>
    <row r="708" spans="1:22" ht="16">
      <c r="A708" t="s">
        <v>973</v>
      </c>
      <c r="B708" t="s">
        <v>2102</v>
      </c>
      <c r="C708" t="s">
        <v>72</v>
      </c>
      <c r="D708" t="s">
        <v>2103</v>
      </c>
      <c r="E708" t="s">
        <v>74</v>
      </c>
      <c r="F708" t="s">
        <v>3</v>
      </c>
      <c r="G708" t="str">
        <f>HYPERLINK("https://www.facebook.com/antonov.vs/posts/pfbid0WoDA925DuzoodzbS7V28bt4ds9TmfsHEXjvxieTXWzQ3cuc53piJ6r5PvYjhKEdjl?comment_id=1633502687790981")</f>
        <v>https://www.facebook.com/antonov.vs/posts/pfbid0WoDA925DuzoodzbS7V28bt4ds9TmfsHEXjvxieTXWzQ3cuc53piJ6r5PvYjhKEdjl?comment_id=1633502687790981</v>
      </c>
      <c r="H708" t="s">
        <v>28</v>
      </c>
      <c r="I708" t="s">
        <v>2104</v>
      </c>
      <c r="K708" t="str">
        <f>HYPERLINK("https://www.facebook.com/100083554712573")</f>
        <v>https://www.facebook.com/100083554712573</v>
      </c>
      <c r="M708" t="s">
        <v>30</v>
      </c>
      <c r="N708" t="s">
        <v>31</v>
      </c>
      <c r="O708" t="s">
        <v>1127</v>
      </c>
      <c r="P708" t="str">
        <f>HYPERLINK("https://www.facebook.com/100002292546539")</f>
        <v>https://www.facebook.com/100002292546539</v>
      </c>
      <c r="Q708">
        <v>485</v>
      </c>
      <c r="R708" t="s">
        <v>32</v>
      </c>
      <c r="S708" t="s">
        <v>85</v>
      </c>
      <c r="T708" t="s">
        <v>34</v>
      </c>
      <c r="U708" t="s">
        <v>1308</v>
      </c>
      <c r="V708" t="s">
        <v>1309</v>
      </c>
    </row>
    <row r="709" spans="1:20" ht="16">
      <c r="A709" t="s">
        <v>973</v>
      </c>
      <c r="B709" t="s">
        <v>2105</v>
      </c>
      <c r="C709" t="s">
        <v>24</v>
      </c>
      <c r="D709" t="s">
        <v>2007</v>
      </c>
      <c r="E709" t="s">
        <v>45</v>
      </c>
      <c r="F709" t="s">
        <v>281</v>
      </c>
      <c r="G709" t="str">
        <f>HYPERLINK("https://twitter.com/NatashaLeskova2/status/2027528330220621834")</f>
        <v>https://twitter.com/NatashaLeskova2/status/2027528330220621834</v>
      </c>
      <c r="H709" t="s">
        <v>28</v>
      </c>
      <c r="I709" t="s">
        <v>2106</v>
      </c>
      <c r="J709" t="s">
        <v>2107</v>
      </c>
      <c r="K709" t="str">
        <f>HYPERLINK("http://twitter.com/NatashaLeskova2")</f>
        <v>http://twitter.com/NatashaLeskova2</v>
      </c>
      <c r="L709">
        <v>242</v>
      </c>
      <c r="N709" t="s">
        <v>278</v>
      </c>
      <c r="R709" t="s">
        <v>32</v>
      </c>
      <c r="S709" t="s">
        <v>33</v>
      </c>
      <c r="T709" t="s">
        <v>240</v>
      </c>
    </row>
    <row r="710" spans="1:20" ht="16">
      <c r="A710" t="s">
        <v>973</v>
      </c>
      <c r="B710" t="s">
        <v>2105</v>
      </c>
      <c r="C710" t="s">
        <v>24</v>
      </c>
      <c r="D710" t="s">
        <v>2007</v>
      </c>
      <c r="E710" t="s">
        <v>45</v>
      </c>
      <c r="F710" t="s">
        <v>281</v>
      </c>
      <c r="G710" t="str">
        <f>HYPERLINK("https://twitter.com/kniga555/status/2027528197877776527")</f>
        <v>https://twitter.com/kniga555/status/2027528197877776527</v>
      </c>
      <c r="H710" t="s">
        <v>28</v>
      </c>
      <c r="I710" t="s">
        <v>2108</v>
      </c>
      <c r="J710" t="s">
        <v>2109</v>
      </c>
      <c r="K710" t="str">
        <f>HYPERLINK("http://twitter.com/kniga555")</f>
        <v>http://twitter.com/kniga555</v>
      </c>
      <c r="L710">
        <v>4171</v>
      </c>
      <c r="N710" t="s">
        <v>278</v>
      </c>
      <c r="R710" t="s">
        <v>32</v>
      </c>
      <c r="S710" t="s">
        <v>33</v>
      </c>
      <c r="T710" t="s">
        <v>2110</v>
      </c>
    </row>
    <row r="711" spans="1:22" ht="16">
      <c r="A711" t="s">
        <v>973</v>
      </c>
      <c r="B711" t="s">
        <v>2111</v>
      </c>
      <c r="C711" t="s">
        <v>80</v>
      </c>
      <c r="D711" t="s">
        <v>2112</v>
      </c>
      <c r="E711" t="s">
        <v>74</v>
      </c>
      <c r="F711" t="s">
        <v>3</v>
      </c>
      <c r="G711" t="str">
        <f>HYPERLINK("https://www.facebook.com/westukrnews/posts/pfbid05KpJzZfAmc7DG6HMNPojmy3FDtYQBjx33JCcksAdDUDGcWNSDnn66BSqDiowXeWol?comment_id=1618117402724635")</f>
        <v>https://www.facebook.com/westukrnews/posts/pfbid05KpJzZfAmc7DG6HMNPojmy3FDtYQBjx33JCcksAdDUDGcWNSDnn66BSqDiowXeWol?comment_id=1618117402724635</v>
      </c>
      <c r="H711" t="s">
        <v>28</v>
      </c>
      <c r="I711" t="s">
        <v>2113</v>
      </c>
      <c r="J711" t="s">
        <v>2114</v>
      </c>
      <c r="K711" t="str">
        <f>HYPERLINK("https://www.facebook.com/100004584275537")</f>
        <v>https://www.facebook.com/100004584275537</v>
      </c>
      <c r="M711" t="s">
        <v>40</v>
      </c>
      <c r="N711" t="s">
        <v>31</v>
      </c>
      <c r="O711" t="s">
        <v>813</v>
      </c>
      <c r="P711" t="str">
        <f>HYPERLINK("https://www.facebook.com/264234810584424")</f>
        <v>https://www.facebook.com/264234810584424</v>
      </c>
      <c r="Q711">
        <v>559985</v>
      </c>
      <c r="R711" t="s">
        <v>32</v>
      </c>
      <c r="S711" t="s">
        <v>33</v>
      </c>
      <c r="T711" t="s">
        <v>86</v>
      </c>
      <c r="U711" t="s">
        <v>127</v>
      </c>
      <c r="V711" t="s">
        <v>128</v>
      </c>
    </row>
    <row r="712" spans="1:19" ht="16">
      <c r="A712" t="s">
        <v>973</v>
      </c>
      <c r="B712" t="s">
        <v>2115</v>
      </c>
      <c r="C712" t="s">
        <v>24</v>
      </c>
      <c r="D712" t="s">
        <v>44</v>
      </c>
      <c r="E712" t="s">
        <v>45</v>
      </c>
      <c r="F712" t="s">
        <v>46</v>
      </c>
      <c r="G712" t="str">
        <f>HYPERLINK("https://www.facebook.com/25783811154644576")</f>
        <v>https://www.facebook.com/25783811154644576</v>
      </c>
      <c r="H712" t="s">
        <v>28</v>
      </c>
      <c r="I712" t="s">
        <v>2116</v>
      </c>
      <c r="K712" t="str">
        <f>HYPERLINK("https://www.facebook.com/100003271346973")</f>
        <v>https://www.facebook.com/100003271346973</v>
      </c>
      <c r="M712" t="s">
        <v>40</v>
      </c>
      <c r="N712" t="s">
        <v>31</v>
      </c>
      <c r="O712" t="s">
        <v>2116</v>
      </c>
      <c r="P712" t="str">
        <f>HYPERLINK("https://www.facebook.com/100003271346973")</f>
        <v>https://www.facebook.com/100003271346973</v>
      </c>
      <c r="R712" t="s">
        <v>32</v>
      </c>
      <c r="S712" t="s">
        <v>33</v>
      </c>
    </row>
    <row r="713" spans="1:20" ht="16">
      <c r="A713" t="s">
        <v>973</v>
      </c>
      <c r="B713" t="s">
        <v>2117</v>
      </c>
      <c r="C713" t="s">
        <v>768</v>
      </c>
      <c r="D713" t="s">
        <v>2118</v>
      </c>
      <c r="E713" t="s">
        <v>74</v>
      </c>
      <c r="F713" t="s">
        <v>3</v>
      </c>
      <c r="G713" t="str">
        <f>HYPERLINK("https://www.facebook.com/toyelviv/posts/pfbid02HyVHmdRrHaKvpJCV4k8sSATEQmB44tvrgpepSrJQ66Qs74jVAzPQ6qaz5ZMHUoNBl?comment_id=779272504768234&amp;reply_comment_id=3229523410561076")</f>
        <v>https://www.facebook.com/toyelviv/posts/pfbid02HyVHmdRrHaKvpJCV4k8sSATEQmB44tvrgpepSrJQ66Qs74jVAzPQ6qaz5ZMHUoNBl?comment_id=779272504768234&amp;reply_comment_id=3229523410561076</v>
      </c>
      <c r="H713" t="s">
        <v>28</v>
      </c>
      <c r="I713" t="s">
        <v>2119</v>
      </c>
      <c r="K713" t="str">
        <f>HYPERLINK("https://www.facebook.com/1158049527")</f>
        <v>https://www.facebook.com/1158049527</v>
      </c>
      <c r="M713" t="s">
        <v>30</v>
      </c>
      <c r="N713" t="s">
        <v>31</v>
      </c>
      <c r="O713" t="s">
        <v>1559</v>
      </c>
      <c r="P713" t="str">
        <f>HYPERLINK("https://www.facebook.com/320892981422193")</f>
        <v>https://www.facebook.com/320892981422193</v>
      </c>
      <c r="Q713">
        <v>293869</v>
      </c>
      <c r="R713" t="s">
        <v>32</v>
      </c>
      <c r="S713" t="s">
        <v>33</v>
      </c>
      <c r="T713" t="s">
        <v>34</v>
      </c>
    </row>
    <row r="714" spans="1:20" ht="16">
      <c r="A714" t="s">
        <v>973</v>
      </c>
      <c r="B714" t="s">
        <v>2117</v>
      </c>
      <c r="C714" t="s">
        <v>768</v>
      </c>
      <c r="D714" t="s">
        <v>2120</v>
      </c>
      <c r="E714" t="s">
        <v>74</v>
      </c>
      <c r="F714" t="s">
        <v>3</v>
      </c>
      <c r="G714" t="str">
        <f>HYPERLINK("https://www.facebook.com/toyelviv/posts/pfbid02HyVHmdRrHaKvpJCV4k8sSATEQmB44tvrgpepSrJQ66Qs74jVAzPQ6qaz5ZMHUoNBl?comment_id=925010496572448")</f>
        <v>https://www.facebook.com/toyelviv/posts/pfbid02HyVHmdRrHaKvpJCV4k8sSATEQmB44tvrgpepSrJQ66Qs74jVAzPQ6qaz5ZMHUoNBl?comment_id=925010496572448</v>
      </c>
      <c r="H714" t="s">
        <v>28</v>
      </c>
      <c r="I714" t="s">
        <v>2119</v>
      </c>
      <c r="K714" t="str">
        <f>HYPERLINK("https://www.facebook.com/1158049527")</f>
        <v>https://www.facebook.com/1158049527</v>
      </c>
      <c r="M714" t="s">
        <v>30</v>
      </c>
      <c r="N714" t="s">
        <v>31</v>
      </c>
      <c r="O714" t="s">
        <v>1559</v>
      </c>
      <c r="P714" t="str">
        <f>HYPERLINK("https://www.facebook.com/320892981422193")</f>
        <v>https://www.facebook.com/320892981422193</v>
      </c>
      <c r="Q714">
        <v>293869</v>
      </c>
      <c r="R714" t="s">
        <v>32</v>
      </c>
      <c r="S714" t="s">
        <v>85</v>
      </c>
      <c r="T714" t="s">
        <v>34</v>
      </c>
    </row>
    <row r="715" spans="1:22" ht="16">
      <c r="A715" t="s">
        <v>973</v>
      </c>
      <c r="B715" t="s">
        <v>2121</v>
      </c>
      <c r="C715" t="s">
        <v>80</v>
      </c>
      <c r="D715" t="s">
        <v>2122</v>
      </c>
      <c r="E715" t="s">
        <v>74</v>
      </c>
      <c r="F715" t="s">
        <v>3</v>
      </c>
      <c r="G715" t="str">
        <f>HYPERLINK("https://www.facebook.com/permalink.php?story_fbid=pfbid02rbt51TUb57HR4F6gBd5FwSTuyaUp3gHvM6gsAExHboTPbUq2FdNvTKt3sBpRB8pml&amp;id=100006975138432&amp;comment_id=919602084579909")</f>
        <v>https://www.facebook.com/permalink.php?story_fbid=pfbid02rbt51TUb57HR4F6gBd5FwSTuyaUp3gHvM6gsAExHboTPbUq2FdNvTKt3sBpRB8pml&amp;id=100006975138432&amp;comment_id=919602084579909</v>
      </c>
      <c r="H715" t="s">
        <v>28</v>
      </c>
      <c r="I715" t="s">
        <v>2123</v>
      </c>
      <c r="K715" t="str">
        <f>HYPERLINK("https://www.facebook.com/100004576485526")</f>
        <v>https://www.facebook.com/100004576485526</v>
      </c>
      <c r="M715" t="s">
        <v>40</v>
      </c>
      <c r="N715" t="s">
        <v>31</v>
      </c>
      <c r="O715" t="s">
        <v>1399</v>
      </c>
      <c r="P715" t="str">
        <f>HYPERLINK("https://www.facebook.com/100006975138432")</f>
        <v>https://www.facebook.com/100006975138432</v>
      </c>
      <c r="R715" t="s">
        <v>32</v>
      </c>
      <c r="S715" t="s">
        <v>85</v>
      </c>
      <c r="T715" t="s">
        <v>34</v>
      </c>
      <c r="U715" t="s">
        <v>58</v>
      </c>
      <c r="V715" t="s">
        <v>58</v>
      </c>
    </row>
    <row r="716" spans="1:22" ht="16">
      <c r="A716" t="s">
        <v>973</v>
      </c>
      <c r="B716" t="s">
        <v>2124</v>
      </c>
      <c r="C716" t="s">
        <v>80</v>
      </c>
      <c r="D716" t="s">
        <v>2125</v>
      </c>
      <c r="E716" t="s">
        <v>74</v>
      </c>
      <c r="F716" t="s">
        <v>3</v>
      </c>
      <c r="G716" t="str">
        <f>HYPERLINK("https://www.facebook.com/westukrnews/posts/pfbid05KpJzZfAmc7DG6HMNPojmy3FDtYQBjx33JCcksAdDUDGcWNSDnn66BSqDiowXeWol?comment_id=2190389038434997")</f>
        <v>https://www.facebook.com/westukrnews/posts/pfbid05KpJzZfAmc7DG6HMNPojmy3FDtYQBjx33JCcksAdDUDGcWNSDnn66BSqDiowXeWol?comment_id=2190389038434997</v>
      </c>
      <c r="H716" t="s">
        <v>28</v>
      </c>
      <c r="I716" t="s">
        <v>2126</v>
      </c>
      <c r="K716" t="str">
        <f>HYPERLINK("https://www.facebook.com/100009840133650")</f>
        <v>https://www.facebook.com/100009840133650</v>
      </c>
      <c r="M716" t="s">
        <v>40</v>
      </c>
      <c r="N716" t="s">
        <v>31</v>
      </c>
      <c r="O716" t="s">
        <v>813</v>
      </c>
      <c r="P716" t="str">
        <f>HYPERLINK("https://www.facebook.com/264234810584424")</f>
        <v>https://www.facebook.com/264234810584424</v>
      </c>
      <c r="Q716">
        <v>559985</v>
      </c>
      <c r="R716" t="s">
        <v>32</v>
      </c>
      <c r="S716" t="s">
        <v>85</v>
      </c>
      <c r="T716" t="s">
        <v>34</v>
      </c>
      <c r="U716" t="s">
        <v>371</v>
      </c>
      <c r="V716" t="s">
        <v>1137</v>
      </c>
    </row>
    <row r="717" spans="1:22" ht="16">
      <c r="A717" t="s">
        <v>973</v>
      </c>
      <c r="B717" t="s">
        <v>2127</v>
      </c>
      <c r="C717" t="s">
        <v>768</v>
      </c>
      <c r="D717" t="s">
        <v>2128</v>
      </c>
      <c r="E717" t="s">
        <v>74</v>
      </c>
      <c r="F717" t="s">
        <v>3</v>
      </c>
      <c r="G717" t="str">
        <f>HYPERLINK("https://www.facebook.com/permalink.php?story_fbid=pfbid0szG6DqrsnXjsMxAE2TRzSyQSFAtZtYFcgHfmnDRpXy1wejfFXLYfZMEiwsi7RmMjl&amp;id=100090843379637&amp;comment_id=26014712158168721")</f>
        <v>https://www.facebook.com/permalink.php?story_fbid=pfbid0szG6DqrsnXjsMxAE2TRzSyQSFAtZtYFcgHfmnDRpXy1wejfFXLYfZMEiwsi7RmMjl&amp;id=100090843379637&amp;comment_id=26014712158168721</v>
      </c>
      <c r="H717" t="s">
        <v>28</v>
      </c>
      <c r="I717" t="s">
        <v>2129</v>
      </c>
      <c r="K717" t="str">
        <f>HYPERLINK("https://www.facebook.com/100090505141390")</f>
        <v>https://www.facebook.com/100090505141390</v>
      </c>
      <c r="M717" t="s">
        <v>40</v>
      </c>
      <c r="N717" t="s">
        <v>31</v>
      </c>
      <c r="O717" t="s">
        <v>876</v>
      </c>
      <c r="P717" t="str">
        <f>HYPERLINK("https://www.facebook.com/100090843379637")</f>
        <v>https://www.facebook.com/100090843379637</v>
      </c>
      <c r="R717" t="s">
        <v>32</v>
      </c>
      <c r="S717" t="s">
        <v>85</v>
      </c>
      <c r="T717" t="s">
        <v>92</v>
      </c>
      <c r="U717" t="s">
        <v>93</v>
      </c>
      <c r="V717" t="s">
        <v>2130</v>
      </c>
    </row>
    <row r="718" spans="1:20" ht="16">
      <c r="A718" t="s">
        <v>973</v>
      </c>
      <c r="B718" t="s">
        <v>2131</v>
      </c>
      <c r="C718" t="s">
        <v>24</v>
      </c>
      <c r="D718" t="s">
        <v>2007</v>
      </c>
      <c r="E718" t="s">
        <v>45</v>
      </c>
      <c r="F718" t="s">
        <v>281</v>
      </c>
      <c r="G718" t="str">
        <f>HYPERLINK("https://twitter.com/vladimirlobeko/status/2027524678655312223")</f>
        <v>https://twitter.com/vladimirlobeko/status/2027524678655312223</v>
      </c>
      <c r="H718" t="s">
        <v>28</v>
      </c>
      <c r="I718" t="s">
        <v>2132</v>
      </c>
      <c r="J718" t="s">
        <v>2133</v>
      </c>
      <c r="K718" t="str">
        <f>HYPERLINK("http://twitter.com/vladimirlobeko")</f>
        <v>http://twitter.com/vladimirlobeko</v>
      </c>
      <c r="L718">
        <v>395</v>
      </c>
      <c r="M718" t="s">
        <v>40</v>
      </c>
      <c r="N718" t="s">
        <v>278</v>
      </c>
      <c r="R718" t="s">
        <v>32</v>
      </c>
      <c r="S718" t="s">
        <v>33</v>
      </c>
      <c r="T718" t="s">
        <v>34</v>
      </c>
    </row>
    <row r="719" spans="1:22" ht="16">
      <c r="A719" t="s">
        <v>973</v>
      </c>
      <c r="B719" t="s">
        <v>2134</v>
      </c>
      <c r="C719" t="s">
        <v>24</v>
      </c>
      <c r="D719" t="s">
        <v>254</v>
      </c>
      <c r="E719" t="s">
        <v>45</v>
      </c>
      <c r="F719" t="s">
        <v>46</v>
      </c>
      <c r="G719" t="str">
        <f>HYPERLINK("https://www.facebook.com/2672242459809517")</f>
        <v>https://www.facebook.com/2672242459809517</v>
      </c>
      <c r="H719" t="s">
        <v>28</v>
      </c>
      <c r="I719" t="s">
        <v>2135</v>
      </c>
      <c r="K719" t="str">
        <f>HYPERLINK("https://www.facebook.com/100004683848598")</f>
        <v>https://www.facebook.com/100004683848598</v>
      </c>
      <c r="M719" t="s">
        <v>30</v>
      </c>
      <c r="N719" t="s">
        <v>31</v>
      </c>
      <c r="O719" t="s">
        <v>2136</v>
      </c>
      <c r="P719" t="str">
        <f>HYPERLINK("https://www.facebook.com/168573993509722")</f>
        <v>https://www.facebook.com/168573993509722</v>
      </c>
      <c r="Q719">
        <v>8921</v>
      </c>
      <c r="R719" t="s">
        <v>32</v>
      </c>
      <c r="S719" t="s">
        <v>33</v>
      </c>
      <c r="T719" t="s">
        <v>34</v>
      </c>
      <c r="U719" t="s">
        <v>487</v>
      </c>
      <c r="V719" t="s">
        <v>2137</v>
      </c>
    </row>
    <row r="720" spans="1:22" ht="16">
      <c r="A720" t="s">
        <v>973</v>
      </c>
      <c r="B720" t="s">
        <v>2138</v>
      </c>
      <c r="C720" t="s">
        <v>80</v>
      </c>
      <c r="D720" t="s">
        <v>2139</v>
      </c>
      <c r="E720" t="s">
        <v>74</v>
      </c>
      <c r="F720" t="s">
        <v>3</v>
      </c>
      <c r="G720" t="str">
        <f>HYPERLINK("https://www.facebook.com/permalink.php?story_fbid=pfbid02rbt51TUb57HR4F6gBd5FwSTuyaUp3gHvM6gsAExHboTPbUq2FdNvTKt3sBpRB8pml&amp;id=100006975138432&amp;comment_id=978297395372761&amp;reply_comment_id=1393840845378953")</f>
        <v>https://www.facebook.com/permalink.php?story_fbid=pfbid02rbt51TUb57HR4F6gBd5FwSTuyaUp3gHvM6gsAExHboTPbUq2FdNvTKt3sBpRB8pml&amp;id=100006975138432&amp;comment_id=978297395372761&amp;reply_comment_id=1393840845378953</v>
      </c>
      <c r="H720" t="s">
        <v>28</v>
      </c>
      <c r="I720" t="s">
        <v>2140</v>
      </c>
      <c r="J720" t="s">
        <v>2141</v>
      </c>
      <c r="K720" t="str">
        <f>HYPERLINK("https://www.facebook.com/100001212091881")</f>
        <v>https://www.facebook.com/100001212091881</v>
      </c>
      <c r="M720" t="s">
        <v>40</v>
      </c>
      <c r="N720" t="s">
        <v>31</v>
      </c>
      <c r="O720" t="s">
        <v>1399</v>
      </c>
      <c r="P720" t="str">
        <f>HYPERLINK("https://www.facebook.com/100006975138432")</f>
        <v>https://www.facebook.com/100006975138432</v>
      </c>
      <c r="R720" t="s">
        <v>32</v>
      </c>
      <c r="S720" t="s">
        <v>85</v>
      </c>
      <c r="T720" t="s">
        <v>34</v>
      </c>
      <c r="U720" t="s">
        <v>58</v>
      </c>
      <c r="V720" t="s">
        <v>58</v>
      </c>
    </row>
    <row r="721" spans="1:20" ht="16">
      <c r="A721" t="s">
        <v>973</v>
      </c>
      <c r="B721" t="s">
        <v>2138</v>
      </c>
      <c r="C721" t="s">
        <v>24</v>
      </c>
      <c r="D721" t="s">
        <v>2007</v>
      </c>
      <c r="E721" t="s">
        <v>45</v>
      </c>
      <c r="F721" t="s">
        <v>281</v>
      </c>
      <c r="G721" t="str">
        <f>HYPERLINK("https://twitter.com/KiopCas/status/2027523915011014807")</f>
        <v>https://twitter.com/KiopCas/status/2027523915011014807</v>
      </c>
      <c r="H721" t="s">
        <v>28</v>
      </c>
      <c r="I721" t="s">
        <v>2142</v>
      </c>
      <c r="J721" t="s">
        <v>2143</v>
      </c>
      <c r="K721" t="str">
        <f>HYPERLINK("http://twitter.com/KiopCas")</f>
        <v>http://twitter.com/KiopCas</v>
      </c>
      <c r="L721">
        <v>99</v>
      </c>
      <c r="N721" t="s">
        <v>278</v>
      </c>
      <c r="R721" t="s">
        <v>32</v>
      </c>
      <c r="S721" t="s">
        <v>33</v>
      </c>
      <c r="T721" t="s">
        <v>34</v>
      </c>
    </row>
    <row r="722" spans="1:22" ht="16">
      <c r="A722" t="s">
        <v>973</v>
      </c>
      <c r="B722" t="s">
        <v>2144</v>
      </c>
      <c r="C722" t="s">
        <v>768</v>
      </c>
      <c r="D722" t="s">
        <v>2145</v>
      </c>
      <c r="E722" t="s">
        <v>74</v>
      </c>
      <c r="F722" t="s">
        <v>3</v>
      </c>
      <c r="G722" t="str">
        <f>HYPERLINK("https://www.facebook.com/toyelviv/posts/pfbid02HyVHmdRrHaKvpJCV4k8sSATEQmB44tvrgpepSrJQ66Qs74jVAzPQ6qaz5ZMHUoNBl?comment_id=1480112537022077")</f>
        <v>https://www.facebook.com/toyelviv/posts/pfbid02HyVHmdRrHaKvpJCV4k8sSATEQmB44tvrgpepSrJQ66Qs74jVAzPQ6qaz5ZMHUoNBl?comment_id=1480112537022077</v>
      </c>
      <c r="H722" t="s">
        <v>28</v>
      </c>
      <c r="I722" t="s">
        <v>2146</v>
      </c>
      <c r="K722" t="str">
        <f>HYPERLINK("https://www.facebook.com/61575329457421")</f>
        <v>https://www.facebook.com/61575329457421</v>
      </c>
      <c r="M722" t="s">
        <v>40</v>
      </c>
      <c r="N722" t="s">
        <v>31</v>
      </c>
      <c r="O722" t="s">
        <v>1559</v>
      </c>
      <c r="P722" t="str">
        <f>HYPERLINK("https://www.facebook.com/320892981422193")</f>
        <v>https://www.facebook.com/320892981422193</v>
      </c>
      <c r="Q722">
        <v>293869</v>
      </c>
      <c r="R722" t="s">
        <v>32</v>
      </c>
      <c r="S722" t="s">
        <v>33</v>
      </c>
      <c r="T722" t="s">
        <v>34</v>
      </c>
      <c r="U722" t="s">
        <v>371</v>
      </c>
      <c r="V722" t="s">
        <v>1014</v>
      </c>
    </row>
    <row r="723" spans="1:20" ht="16">
      <c r="A723" t="s">
        <v>973</v>
      </c>
      <c r="B723" t="s">
        <v>2147</v>
      </c>
      <c r="C723" t="s">
        <v>24</v>
      </c>
      <c r="D723" t="s">
        <v>2007</v>
      </c>
      <c r="E723" t="s">
        <v>45</v>
      </c>
      <c r="F723" t="s">
        <v>281</v>
      </c>
      <c r="G723" t="str">
        <f>HYPERLINK("https://twitter.com/OrakulDoro/status/2027523518934508000")</f>
        <v>https://twitter.com/OrakulDoro/status/2027523518934508000</v>
      </c>
      <c r="H723" t="s">
        <v>28</v>
      </c>
      <c r="I723" t="s">
        <v>2148</v>
      </c>
      <c r="J723" t="s">
        <v>2149</v>
      </c>
      <c r="K723" t="str">
        <f>HYPERLINK("http://twitter.com/OrakulDoro")</f>
        <v>http://twitter.com/OrakulDoro</v>
      </c>
      <c r="L723">
        <v>11</v>
      </c>
      <c r="M723" t="s">
        <v>40</v>
      </c>
      <c r="N723" t="s">
        <v>278</v>
      </c>
      <c r="R723" t="s">
        <v>32</v>
      </c>
      <c r="S723" t="s">
        <v>33</v>
      </c>
      <c r="T723" t="s">
        <v>34</v>
      </c>
    </row>
    <row r="724" spans="1:22" ht="16">
      <c r="A724" t="s">
        <v>973</v>
      </c>
      <c r="B724" t="s">
        <v>2150</v>
      </c>
      <c r="C724" t="s">
        <v>768</v>
      </c>
      <c r="D724" t="s">
        <v>2151</v>
      </c>
      <c r="E724" t="s">
        <v>74</v>
      </c>
      <c r="F724" t="s">
        <v>3</v>
      </c>
      <c r="G724" t="str">
        <f>HYPERLINK("https://www.facebook.com/toyelviv/posts/pfbid02HyVHmdRrHaKvpJCV4k8sSATEQmB44tvrgpepSrJQ66Qs74jVAzPQ6qaz5ZMHUoNBl?comment_id=766580566511027")</f>
        <v>https://www.facebook.com/toyelviv/posts/pfbid02HyVHmdRrHaKvpJCV4k8sSATEQmB44tvrgpepSrJQ66Qs74jVAzPQ6qaz5ZMHUoNBl?comment_id=766580566511027</v>
      </c>
      <c r="H724" t="s">
        <v>28</v>
      </c>
      <c r="I724" t="s">
        <v>2146</v>
      </c>
      <c r="K724" t="str">
        <f>HYPERLINK("https://www.facebook.com/61575329457421")</f>
        <v>https://www.facebook.com/61575329457421</v>
      </c>
      <c r="M724" t="s">
        <v>40</v>
      </c>
      <c r="N724" t="s">
        <v>31</v>
      </c>
      <c r="O724" t="s">
        <v>1559</v>
      </c>
      <c r="P724" t="str">
        <f>HYPERLINK("https://www.facebook.com/320892981422193")</f>
        <v>https://www.facebook.com/320892981422193</v>
      </c>
      <c r="Q724">
        <v>293869</v>
      </c>
      <c r="R724" t="s">
        <v>32</v>
      </c>
      <c r="S724" t="s">
        <v>33</v>
      </c>
      <c r="T724" t="s">
        <v>34</v>
      </c>
      <c r="U724" t="s">
        <v>371</v>
      </c>
      <c r="V724" t="s">
        <v>1014</v>
      </c>
    </row>
    <row r="725" spans="1:22" ht="16">
      <c r="A725" t="s">
        <v>973</v>
      </c>
      <c r="B725" t="s">
        <v>2152</v>
      </c>
      <c r="C725" t="s">
        <v>24</v>
      </c>
      <c r="D725" t="s">
        <v>238</v>
      </c>
      <c r="E725" t="s">
        <v>45</v>
      </c>
      <c r="F725" t="s">
        <v>3</v>
      </c>
      <c r="G725" t="str">
        <f>HYPERLINK("https://www.facebook.com/1490976615698932")</f>
        <v>https://www.facebook.com/1490976615698932</v>
      </c>
      <c r="H725" t="s">
        <v>28</v>
      </c>
      <c r="I725" t="s">
        <v>2153</v>
      </c>
      <c r="J725" t="s">
        <v>2154</v>
      </c>
      <c r="K725" t="str">
        <f>HYPERLINK("https://www.facebook.com/100043598237839")</f>
        <v>https://www.facebook.com/100043598237839</v>
      </c>
      <c r="M725" t="s">
        <v>30</v>
      </c>
      <c r="N725" t="s">
        <v>31</v>
      </c>
      <c r="O725" t="s">
        <v>2153</v>
      </c>
      <c r="P725" t="str">
        <f>HYPERLINK("https://www.facebook.com/100043598237839")</f>
        <v>https://www.facebook.com/100043598237839</v>
      </c>
      <c r="R725" t="s">
        <v>32</v>
      </c>
      <c r="S725" t="s">
        <v>33</v>
      </c>
      <c r="T725" t="s">
        <v>34</v>
      </c>
      <c r="U725" t="s">
        <v>2155</v>
      </c>
      <c r="V725" t="s">
        <v>2156</v>
      </c>
    </row>
    <row r="726" spans="1:20" ht="16">
      <c r="A726" t="s">
        <v>973</v>
      </c>
      <c r="B726" t="s">
        <v>2152</v>
      </c>
      <c r="C726" t="s">
        <v>24</v>
      </c>
      <c r="D726" t="s">
        <v>2007</v>
      </c>
      <c r="E726" t="s">
        <v>45</v>
      </c>
      <c r="F726" t="s">
        <v>281</v>
      </c>
      <c r="G726" t="str">
        <f>HYPERLINK("https://twitter.com/SmetanatBorschu/status/2027523004285018590")</f>
        <v>https://twitter.com/SmetanatBorschu/status/2027523004285018590</v>
      </c>
      <c r="H726" t="s">
        <v>28</v>
      </c>
      <c r="I726" t="s">
        <v>2157</v>
      </c>
      <c r="J726" t="s">
        <v>2158</v>
      </c>
      <c r="K726" t="str">
        <f>HYPERLINK("http://twitter.com/SmetanatBorschu")</f>
        <v>http://twitter.com/SmetanatBorschu</v>
      </c>
      <c r="L726">
        <v>17883</v>
      </c>
      <c r="N726" t="s">
        <v>278</v>
      </c>
      <c r="R726" t="s">
        <v>32</v>
      </c>
      <c r="S726" t="s">
        <v>33</v>
      </c>
      <c r="T726" t="s">
        <v>34</v>
      </c>
    </row>
    <row r="727" spans="1:22" ht="16">
      <c r="A727" t="s">
        <v>973</v>
      </c>
      <c r="B727" t="s">
        <v>2159</v>
      </c>
      <c r="C727" t="s">
        <v>24</v>
      </c>
      <c r="D727" t="s">
        <v>44</v>
      </c>
      <c r="E727" t="s">
        <v>45</v>
      </c>
      <c r="F727" t="s">
        <v>46</v>
      </c>
      <c r="G727" t="str">
        <f>HYPERLINK("https://www.facebook.com/3342478622577433")</f>
        <v>https://www.facebook.com/3342478622577433</v>
      </c>
      <c r="H727" t="s">
        <v>28</v>
      </c>
      <c r="I727" t="s">
        <v>2160</v>
      </c>
      <c r="J727" t="s">
        <v>2161</v>
      </c>
      <c r="K727" t="str">
        <f>HYPERLINK("https://www.facebook.com/100004459842452")</f>
        <v>https://www.facebook.com/100004459842452</v>
      </c>
      <c r="M727" t="s">
        <v>30</v>
      </c>
      <c r="N727" t="s">
        <v>31</v>
      </c>
      <c r="O727" t="s">
        <v>2160</v>
      </c>
      <c r="P727" t="str">
        <f>HYPERLINK("https://www.facebook.com/100004459842452")</f>
        <v>https://www.facebook.com/100004459842452</v>
      </c>
      <c r="R727" t="s">
        <v>32</v>
      </c>
      <c r="S727" t="s">
        <v>33</v>
      </c>
      <c r="T727" t="s">
        <v>34</v>
      </c>
      <c r="U727" t="s">
        <v>304</v>
      </c>
      <c r="V727" t="s">
        <v>519</v>
      </c>
    </row>
    <row r="728" spans="1:22" ht="16">
      <c r="A728" t="s">
        <v>973</v>
      </c>
      <c r="B728" t="s">
        <v>2162</v>
      </c>
      <c r="C728" t="s">
        <v>80</v>
      </c>
      <c r="D728" t="s">
        <v>2163</v>
      </c>
      <c r="E728" t="s">
        <v>74</v>
      </c>
      <c r="F728" t="s">
        <v>3</v>
      </c>
      <c r="G728" t="str">
        <f>HYPERLINK("https://www.facebook.com/westukrnews/posts/pfbid05KpJzZfAmc7DG6HMNPojmy3FDtYQBjx33JCcksAdDUDGcWNSDnn66BSqDiowXeWol?comment_id=823156087483225")</f>
        <v>https://www.facebook.com/westukrnews/posts/pfbid05KpJzZfAmc7DG6HMNPojmy3FDtYQBjx33JCcksAdDUDGcWNSDnn66BSqDiowXeWol?comment_id=823156087483225</v>
      </c>
      <c r="H728" t="s">
        <v>28</v>
      </c>
      <c r="I728" t="s">
        <v>2164</v>
      </c>
      <c r="J728" t="s">
        <v>2165</v>
      </c>
      <c r="K728" t="str">
        <f>HYPERLINK("https://www.facebook.com/100030500650766")</f>
        <v>https://www.facebook.com/100030500650766</v>
      </c>
      <c r="M728" t="s">
        <v>30</v>
      </c>
      <c r="N728" t="s">
        <v>31</v>
      </c>
      <c r="O728" t="s">
        <v>813</v>
      </c>
      <c r="P728" t="str">
        <f>HYPERLINK("https://www.facebook.com/264234810584424")</f>
        <v>https://www.facebook.com/264234810584424</v>
      </c>
      <c r="Q728">
        <v>559985</v>
      </c>
      <c r="R728" t="s">
        <v>32</v>
      </c>
      <c r="S728" t="s">
        <v>33</v>
      </c>
      <c r="T728" t="s">
        <v>34</v>
      </c>
      <c r="U728" t="s">
        <v>265</v>
      </c>
      <c r="V728" t="s">
        <v>2166</v>
      </c>
    </row>
    <row r="729" spans="1:22" ht="16">
      <c r="A729" t="s">
        <v>973</v>
      </c>
      <c r="B729" t="s">
        <v>2167</v>
      </c>
      <c r="C729" t="s">
        <v>24</v>
      </c>
      <c r="D729" t="s">
        <v>238</v>
      </c>
      <c r="E729" t="s">
        <v>45</v>
      </c>
      <c r="F729" t="s">
        <v>3</v>
      </c>
      <c r="G729" t="str">
        <f>HYPERLINK("https://www.facebook.com/1709578556671906")</f>
        <v>https://www.facebook.com/1709578556671906</v>
      </c>
      <c r="H729" t="s">
        <v>28</v>
      </c>
      <c r="I729" t="s">
        <v>107</v>
      </c>
      <c r="K729" t="str">
        <f>HYPERLINK("https://www.facebook.com/100028593340520")</f>
        <v>https://www.facebook.com/100028593340520</v>
      </c>
      <c r="M729" t="s">
        <v>40</v>
      </c>
      <c r="N729" t="s">
        <v>31</v>
      </c>
      <c r="O729" t="s">
        <v>107</v>
      </c>
      <c r="P729" t="str">
        <f>HYPERLINK("https://www.facebook.com/100028593340520")</f>
        <v>https://www.facebook.com/100028593340520</v>
      </c>
      <c r="R729" t="s">
        <v>32</v>
      </c>
      <c r="S729" t="s">
        <v>33</v>
      </c>
      <c r="T729" t="s">
        <v>108</v>
      </c>
      <c r="U729" t="s">
        <v>109</v>
      </c>
      <c r="V729" t="s">
        <v>110</v>
      </c>
    </row>
    <row r="730" spans="1:22" ht="16">
      <c r="A730" t="s">
        <v>973</v>
      </c>
      <c r="B730" t="s">
        <v>2168</v>
      </c>
      <c r="C730" t="s">
        <v>80</v>
      </c>
      <c r="D730" t="s">
        <v>2169</v>
      </c>
      <c r="E730" t="s">
        <v>74</v>
      </c>
      <c r="F730" t="s">
        <v>3</v>
      </c>
      <c r="G730" t="str">
        <f>HYPERLINK("https://www.facebook.com/permalink.php?story_fbid=pfbid02rbt51TUb57HR4F6gBd5FwSTuyaUp3gHvM6gsAExHboTPbUq2FdNvTKt3sBpRB8pml&amp;id=100006975138432&amp;comment_id=910323081710074")</f>
        <v>https://www.facebook.com/permalink.php?story_fbid=pfbid02rbt51TUb57HR4F6gBd5FwSTuyaUp3gHvM6gsAExHboTPbUq2FdNvTKt3sBpRB8pml&amp;id=100006975138432&amp;comment_id=910323081710074</v>
      </c>
      <c r="H730" t="s">
        <v>28</v>
      </c>
      <c r="I730" t="s">
        <v>2170</v>
      </c>
      <c r="K730" t="str">
        <f>HYPERLINK("https://www.facebook.com/100024147841358")</f>
        <v>https://www.facebook.com/100024147841358</v>
      </c>
      <c r="M730" t="s">
        <v>30</v>
      </c>
      <c r="N730" t="s">
        <v>31</v>
      </c>
      <c r="O730" t="s">
        <v>1399</v>
      </c>
      <c r="P730" t="str">
        <f>HYPERLINK("https://www.facebook.com/100006975138432")</f>
        <v>https://www.facebook.com/100006975138432</v>
      </c>
      <c r="R730" t="s">
        <v>32</v>
      </c>
      <c r="S730" t="s">
        <v>33</v>
      </c>
      <c r="T730" t="s">
        <v>34</v>
      </c>
      <c r="U730" t="s">
        <v>58</v>
      </c>
      <c r="V730" t="s">
        <v>58</v>
      </c>
    </row>
    <row r="731" spans="1:20" ht="16">
      <c r="A731" t="s">
        <v>973</v>
      </c>
      <c r="B731" t="s">
        <v>2171</v>
      </c>
      <c r="C731" t="s">
        <v>24</v>
      </c>
      <c r="D731" t="s">
        <v>2007</v>
      </c>
      <c r="E731" t="s">
        <v>45</v>
      </c>
      <c r="F731" t="s">
        <v>281</v>
      </c>
      <c r="G731" t="str">
        <f>HYPERLINK("https://twitter.com/bigjktu/status/2027520609685553162")</f>
        <v>https://twitter.com/bigjktu/status/2027520609685553162</v>
      </c>
      <c r="H731" t="s">
        <v>28</v>
      </c>
      <c r="I731" t="s">
        <v>2172</v>
      </c>
      <c r="J731" t="s">
        <v>2173</v>
      </c>
      <c r="K731" t="str">
        <f>HYPERLINK("http://twitter.com/bigjktu")</f>
        <v>http://twitter.com/bigjktu</v>
      </c>
      <c r="L731">
        <v>38</v>
      </c>
      <c r="N731" t="s">
        <v>278</v>
      </c>
      <c r="R731" t="s">
        <v>32</v>
      </c>
      <c r="S731" t="s">
        <v>33</v>
      </c>
      <c r="T731" t="s">
        <v>2174</v>
      </c>
    </row>
    <row r="732" spans="1:22" ht="16">
      <c r="A732" t="s">
        <v>973</v>
      </c>
      <c r="B732" t="s">
        <v>2171</v>
      </c>
      <c r="C732" t="s">
        <v>768</v>
      </c>
      <c r="D732" t="s">
        <v>2175</v>
      </c>
      <c r="E732" t="s">
        <v>74</v>
      </c>
      <c r="F732" t="s">
        <v>3</v>
      </c>
      <c r="G732" t="str">
        <f>HYPERLINK("https://www.facebook.com/toyelviv/posts/pfbid02HyVHmdRrHaKvpJCV4k8sSATEQmB44tvrgpepSrJQ66Qs74jVAzPQ6qaz5ZMHUoNBl?comment_id=906000739092783")</f>
        <v>https://www.facebook.com/toyelviv/posts/pfbid02HyVHmdRrHaKvpJCV4k8sSATEQmB44tvrgpepSrJQ66Qs74jVAzPQ6qaz5ZMHUoNBl?comment_id=906000739092783</v>
      </c>
      <c r="H732" t="s">
        <v>28</v>
      </c>
      <c r="I732" t="s">
        <v>2176</v>
      </c>
      <c r="J732" t="s">
        <v>2177</v>
      </c>
      <c r="K732" t="str">
        <f>HYPERLINK("https://www.facebook.com/100008132131521")</f>
        <v>https://www.facebook.com/100008132131521</v>
      </c>
      <c r="M732" t="s">
        <v>30</v>
      </c>
      <c r="N732" t="s">
        <v>31</v>
      </c>
      <c r="O732" t="s">
        <v>1559</v>
      </c>
      <c r="P732" t="str">
        <f>HYPERLINK("https://www.facebook.com/320892981422193")</f>
        <v>https://www.facebook.com/320892981422193</v>
      </c>
      <c r="Q732">
        <v>293869</v>
      </c>
      <c r="R732" t="s">
        <v>32</v>
      </c>
      <c r="S732" t="s">
        <v>85</v>
      </c>
      <c r="T732" t="s">
        <v>34</v>
      </c>
      <c r="U732" t="s">
        <v>41</v>
      </c>
      <c r="V732" t="s">
        <v>42</v>
      </c>
    </row>
    <row r="733" spans="1:22" ht="16">
      <c r="A733" t="s">
        <v>973</v>
      </c>
      <c r="B733" t="s">
        <v>2178</v>
      </c>
      <c r="C733" t="s">
        <v>80</v>
      </c>
      <c r="D733" t="s">
        <v>2179</v>
      </c>
      <c r="E733" t="s">
        <v>74</v>
      </c>
      <c r="F733" t="s">
        <v>3</v>
      </c>
      <c r="G733" t="str">
        <f>HYPERLINK("https://www.facebook.com/westukrnews/posts/pfbid05KpJzZfAmc7DG6HMNPojmy3FDtYQBjx33JCcksAdDUDGcWNSDnn66BSqDiowXeWol?comment_id=1443910750652312")</f>
        <v>https://www.facebook.com/westukrnews/posts/pfbid05KpJzZfAmc7DG6HMNPojmy3FDtYQBjx33JCcksAdDUDGcWNSDnn66BSqDiowXeWol?comment_id=1443910750652312</v>
      </c>
      <c r="H733" t="s">
        <v>28</v>
      </c>
      <c r="I733" t="s">
        <v>2180</v>
      </c>
      <c r="K733" t="str">
        <f>HYPERLINK("https://www.facebook.com/100083070210351")</f>
        <v>https://www.facebook.com/100083070210351</v>
      </c>
      <c r="M733" t="s">
        <v>30</v>
      </c>
      <c r="N733" t="s">
        <v>31</v>
      </c>
      <c r="O733" t="s">
        <v>813</v>
      </c>
      <c r="P733" t="str">
        <f>HYPERLINK("https://www.facebook.com/264234810584424")</f>
        <v>https://www.facebook.com/264234810584424</v>
      </c>
      <c r="Q733">
        <v>559985</v>
      </c>
      <c r="R733" t="s">
        <v>32</v>
      </c>
      <c r="S733" t="s">
        <v>85</v>
      </c>
      <c r="T733" t="s">
        <v>34</v>
      </c>
      <c r="U733" t="s">
        <v>41</v>
      </c>
      <c r="V733" t="s">
        <v>1623</v>
      </c>
    </row>
    <row r="734" spans="1:22" ht="16">
      <c r="A734" t="s">
        <v>973</v>
      </c>
      <c r="B734" t="s">
        <v>2178</v>
      </c>
      <c r="C734" t="s">
        <v>24</v>
      </c>
      <c r="D734" t="s">
        <v>2007</v>
      </c>
      <c r="E734" t="s">
        <v>45</v>
      </c>
      <c r="F734" t="s">
        <v>281</v>
      </c>
      <c r="G734" t="str">
        <f>HYPERLINK("https://twitter.com/olga4133/status/2027519701610312138")</f>
        <v>https://twitter.com/olga4133/status/2027519701610312138</v>
      </c>
      <c r="H734" t="s">
        <v>28</v>
      </c>
      <c r="I734" t="s">
        <v>2181</v>
      </c>
      <c r="J734" t="s">
        <v>2182</v>
      </c>
      <c r="K734" t="str">
        <f>HYPERLINK("http://twitter.com/olga4133")</f>
        <v>http://twitter.com/olga4133</v>
      </c>
      <c r="L734">
        <v>262</v>
      </c>
      <c r="N734" t="s">
        <v>278</v>
      </c>
      <c r="R734" t="s">
        <v>32</v>
      </c>
      <c r="S734" t="s">
        <v>33</v>
      </c>
      <c r="T734" t="s">
        <v>34</v>
      </c>
      <c r="U734" t="s">
        <v>41</v>
      </c>
      <c r="V734" t="s">
        <v>42</v>
      </c>
    </row>
    <row r="735" spans="1:20" ht="16">
      <c r="A735" t="s">
        <v>973</v>
      </c>
      <c r="B735" t="s">
        <v>2183</v>
      </c>
      <c r="C735" t="s">
        <v>24</v>
      </c>
      <c r="D735" t="s">
        <v>2007</v>
      </c>
      <c r="E735" t="s">
        <v>45</v>
      </c>
      <c r="F735" t="s">
        <v>281</v>
      </c>
      <c r="G735" t="str">
        <f>HYPERLINK("https://twitter.com/UrKarat/status/2027519439801880713")</f>
        <v>https://twitter.com/UrKarat/status/2027519439801880713</v>
      </c>
      <c r="H735" t="s">
        <v>28</v>
      </c>
      <c r="I735" t="s">
        <v>2184</v>
      </c>
      <c r="J735" t="s">
        <v>2185</v>
      </c>
      <c r="K735" t="str">
        <f>HYPERLINK("http://twitter.com/UrKarat")</f>
        <v>http://twitter.com/UrKarat</v>
      </c>
      <c r="L735">
        <v>728</v>
      </c>
      <c r="N735" t="s">
        <v>278</v>
      </c>
      <c r="R735" t="s">
        <v>32</v>
      </c>
      <c r="S735" t="s">
        <v>33</v>
      </c>
      <c r="T735" t="s">
        <v>34</v>
      </c>
    </row>
    <row r="736" spans="1:20" ht="16">
      <c r="A736" t="s">
        <v>973</v>
      </c>
      <c r="B736" t="s">
        <v>2186</v>
      </c>
      <c r="C736" t="s">
        <v>24</v>
      </c>
      <c r="D736" t="s">
        <v>2007</v>
      </c>
      <c r="E736" t="s">
        <v>45</v>
      </c>
      <c r="F736" t="s">
        <v>281</v>
      </c>
      <c r="G736" t="str">
        <f>HYPERLINK("https://twitter.com/taras_terry/status/2027518972766101573")</f>
        <v>https://twitter.com/taras_terry/status/2027518972766101573</v>
      </c>
      <c r="H736" t="s">
        <v>28</v>
      </c>
      <c r="I736" t="s">
        <v>2187</v>
      </c>
      <c r="J736" t="s">
        <v>2188</v>
      </c>
      <c r="K736" t="str">
        <f>HYPERLINK("http://twitter.com/taras_terry")</f>
        <v>http://twitter.com/taras_terry</v>
      </c>
      <c r="L736">
        <v>458</v>
      </c>
      <c r="N736" t="s">
        <v>278</v>
      </c>
      <c r="R736" t="s">
        <v>32</v>
      </c>
      <c r="S736" t="s">
        <v>33</v>
      </c>
      <c r="T736" t="s">
        <v>86</v>
      </c>
    </row>
    <row r="737" spans="1:22" ht="16">
      <c r="A737" t="s">
        <v>973</v>
      </c>
      <c r="B737" t="s">
        <v>960</v>
      </c>
      <c r="C737" t="s">
        <v>80</v>
      </c>
      <c r="D737" t="s">
        <v>2189</v>
      </c>
      <c r="E737" t="s">
        <v>74</v>
      </c>
      <c r="F737" t="s">
        <v>3</v>
      </c>
      <c r="G737" t="str">
        <f>HYPERLINK("https://www.facebook.com/permalink.php?story_fbid=pfbid02rbt51TUb57HR4F6gBd5FwSTuyaUp3gHvM6gsAExHboTPbUq2FdNvTKt3sBpRB8pml&amp;id=100006975138432&amp;comment_id=1943554002903952")</f>
        <v>https://www.facebook.com/permalink.php?story_fbid=pfbid02rbt51TUb57HR4F6gBd5FwSTuyaUp3gHvM6gsAExHboTPbUq2FdNvTKt3sBpRB8pml&amp;id=100006975138432&amp;comment_id=1943554002903952</v>
      </c>
      <c r="H737" t="s">
        <v>28</v>
      </c>
      <c r="I737" t="s">
        <v>2190</v>
      </c>
      <c r="J737" t="s">
        <v>2191</v>
      </c>
      <c r="K737" t="str">
        <f>HYPERLINK("https://www.facebook.com/100010155405218")</f>
        <v>https://www.facebook.com/100010155405218</v>
      </c>
      <c r="M737" t="s">
        <v>40</v>
      </c>
      <c r="N737" t="s">
        <v>31</v>
      </c>
      <c r="O737" t="s">
        <v>1399</v>
      </c>
      <c r="P737" t="str">
        <f>HYPERLINK("https://www.facebook.com/100006975138432")</f>
        <v>https://www.facebook.com/100006975138432</v>
      </c>
      <c r="R737" t="s">
        <v>32</v>
      </c>
      <c r="S737" t="s">
        <v>33</v>
      </c>
      <c r="T737" t="s">
        <v>34</v>
      </c>
      <c r="U737" t="s">
        <v>41</v>
      </c>
      <c r="V737" t="s">
        <v>2192</v>
      </c>
    </row>
    <row r="738" spans="1:22" ht="16">
      <c r="A738" t="s">
        <v>973</v>
      </c>
      <c r="B738" t="s">
        <v>960</v>
      </c>
      <c r="C738" t="s">
        <v>768</v>
      </c>
      <c r="D738" t="s">
        <v>2193</v>
      </c>
      <c r="E738" t="s">
        <v>74</v>
      </c>
      <c r="F738" t="s">
        <v>3</v>
      </c>
      <c r="G738" t="str">
        <f>HYPERLINK("https://www.facebook.com/pr0ternopil/posts/pfbid02pTpTaTjiHaMSxHoUZxAKRGW9apE2tT4X8xS1gggT8HBnBJe7mzfmpbrZyKLhVpsTl?comment_id=1675847513602141")</f>
        <v>https://www.facebook.com/pr0ternopil/posts/pfbid02pTpTaTjiHaMSxHoUZxAKRGW9apE2tT4X8xS1gggT8HBnBJe7mzfmpbrZyKLhVpsTl?comment_id=1675847513602141</v>
      </c>
      <c r="H738" t="s">
        <v>28</v>
      </c>
      <c r="I738" t="s">
        <v>2194</v>
      </c>
      <c r="K738" t="str">
        <f>HYPERLINK("https://www.facebook.com/100009386357560")</f>
        <v>https://www.facebook.com/100009386357560</v>
      </c>
      <c r="M738" t="s">
        <v>30</v>
      </c>
      <c r="N738" t="s">
        <v>31</v>
      </c>
      <c r="O738" t="s">
        <v>1735</v>
      </c>
      <c r="P738" t="str">
        <f>HYPERLINK("https://www.facebook.com/2172498003027664")</f>
        <v>https://www.facebook.com/2172498003027664</v>
      </c>
      <c r="Q738">
        <v>34331</v>
      </c>
      <c r="R738" t="s">
        <v>32</v>
      </c>
      <c r="S738" t="s">
        <v>33</v>
      </c>
      <c r="T738" t="s">
        <v>2110</v>
      </c>
      <c r="V738" t="s">
        <v>2195</v>
      </c>
    </row>
    <row r="739" spans="1:21" ht="16">
      <c r="A739" t="s">
        <v>973</v>
      </c>
      <c r="B739" t="s">
        <v>2196</v>
      </c>
      <c r="C739" t="s">
        <v>80</v>
      </c>
      <c r="D739" t="s">
        <v>2197</v>
      </c>
      <c r="E739" t="s">
        <v>74</v>
      </c>
      <c r="F739" t="s">
        <v>3</v>
      </c>
      <c r="G739" t="str">
        <f>HYPERLINK("https://www.facebook.com/permalink.php?story_fbid=pfbid02rbt51TUb57HR4F6gBd5FwSTuyaUp3gHvM6gsAExHboTPbUq2FdNvTKt3sBpRB8pml&amp;id=100006975138432&amp;comment_id=1244555373798305")</f>
        <v>https://www.facebook.com/permalink.php?story_fbid=pfbid02rbt51TUb57HR4F6gBd5FwSTuyaUp3gHvM6gsAExHboTPbUq2FdNvTKt3sBpRB8pml&amp;id=100006975138432&amp;comment_id=1244555373798305</v>
      </c>
      <c r="H739" t="s">
        <v>28</v>
      </c>
      <c r="I739" t="s">
        <v>2198</v>
      </c>
      <c r="K739" t="str">
        <f>HYPERLINK("https://www.facebook.com/100024358262915")</f>
        <v>https://www.facebook.com/100024358262915</v>
      </c>
      <c r="M739" t="s">
        <v>30</v>
      </c>
      <c r="N739" t="s">
        <v>31</v>
      </c>
      <c r="O739" t="s">
        <v>1399</v>
      </c>
      <c r="P739" t="str">
        <f>HYPERLINK("https://www.facebook.com/100006975138432")</f>
        <v>https://www.facebook.com/100006975138432</v>
      </c>
      <c r="R739" t="s">
        <v>32</v>
      </c>
      <c r="S739" t="s">
        <v>33</v>
      </c>
      <c r="T739" t="s">
        <v>34</v>
      </c>
      <c r="U739" t="s">
        <v>35</v>
      </c>
    </row>
    <row r="740" spans="1:22" ht="16">
      <c r="A740" t="s">
        <v>973</v>
      </c>
      <c r="B740" t="s">
        <v>2199</v>
      </c>
      <c r="C740" t="s">
        <v>24</v>
      </c>
      <c r="D740" t="s">
        <v>1976</v>
      </c>
      <c r="E740" t="s">
        <v>45</v>
      </c>
      <c r="F740" t="s">
        <v>46</v>
      </c>
      <c r="G740" t="str">
        <f>HYPERLINK("https://www.facebook.com/908157241834367")</f>
        <v>https://www.facebook.com/908157241834367</v>
      </c>
      <c r="H740" t="s">
        <v>28</v>
      </c>
      <c r="I740" t="s">
        <v>2200</v>
      </c>
      <c r="K740" t="str">
        <f>HYPERLINK("https://www.facebook.com/100079202996421")</f>
        <v>https://www.facebook.com/100079202996421</v>
      </c>
      <c r="M740" t="s">
        <v>40</v>
      </c>
      <c r="N740" t="s">
        <v>31</v>
      </c>
      <c r="O740" t="s">
        <v>2200</v>
      </c>
      <c r="P740" t="str">
        <f>HYPERLINK("https://www.facebook.com/100079202996421")</f>
        <v>https://www.facebook.com/100079202996421</v>
      </c>
      <c r="R740" t="s">
        <v>32</v>
      </c>
      <c r="S740" t="s">
        <v>33</v>
      </c>
      <c r="T740" t="s">
        <v>34</v>
      </c>
      <c r="U740" t="s">
        <v>58</v>
      </c>
      <c r="V740" t="s">
        <v>58</v>
      </c>
    </row>
    <row r="741" spans="1:22" ht="16">
      <c r="A741" t="s">
        <v>973</v>
      </c>
      <c r="B741" t="s">
        <v>2199</v>
      </c>
      <c r="C741" t="s">
        <v>80</v>
      </c>
      <c r="D741" t="s">
        <v>2201</v>
      </c>
      <c r="E741" t="s">
        <v>74</v>
      </c>
      <c r="F741" t="s">
        <v>3</v>
      </c>
      <c r="G741" t="str">
        <f>HYPERLINK("https://www.facebook.com/permalink.php?story_fbid=pfbid02rbt51TUb57HR4F6gBd5FwSTuyaUp3gHvM6gsAExHboTPbUq2FdNvTKt3sBpRB8pml&amp;id=100006975138432&amp;comment_id=1457304252639865")</f>
        <v>https://www.facebook.com/permalink.php?story_fbid=pfbid02rbt51TUb57HR4F6gBd5FwSTuyaUp3gHvM6gsAExHboTPbUq2FdNvTKt3sBpRB8pml&amp;id=100006975138432&amp;comment_id=1457304252639865</v>
      </c>
      <c r="H741" t="s">
        <v>28</v>
      </c>
      <c r="I741" t="s">
        <v>2202</v>
      </c>
      <c r="K741" t="str">
        <f>HYPERLINK("https://www.facebook.com/100007709658411")</f>
        <v>https://www.facebook.com/100007709658411</v>
      </c>
      <c r="M741" t="s">
        <v>30</v>
      </c>
      <c r="N741" t="s">
        <v>31</v>
      </c>
      <c r="O741" t="s">
        <v>1399</v>
      </c>
      <c r="P741" t="str">
        <f>HYPERLINK("https://www.facebook.com/100006975138432")</f>
        <v>https://www.facebook.com/100006975138432</v>
      </c>
      <c r="R741" t="s">
        <v>32</v>
      </c>
      <c r="S741" t="s">
        <v>33</v>
      </c>
      <c r="T741" t="s">
        <v>117</v>
      </c>
      <c r="U741" t="s">
        <v>2017</v>
      </c>
      <c r="V741" t="s">
        <v>2017</v>
      </c>
    </row>
    <row r="742" spans="1:22" ht="16">
      <c r="A742" t="s">
        <v>973</v>
      </c>
      <c r="B742" t="s">
        <v>2203</v>
      </c>
      <c r="C742" t="s">
        <v>80</v>
      </c>
      <c r="D742" t="s">
        <v>2204</v>
      </c>
      <c r="E742" t="s">
        <v>74</v>
      </c>
      <c r="F742" t="s">
        <v>3</v>
      </c>
      <c r="G742" t="str">
        <f>HYPERLINK("https://www.facebook.com/westukrnews/posts/pfbid05KpJzZfAmc7DG6HMNPojmy3FDtYQBjx33JCcksAdDUDGcWNSDnn66BSqDiowXeWol?comment_id=4199710516951073")</f>
        <v>https://www.facebook.com/westukrnews/posts/pfbid05KpJzZfAmc7DG6HMNPojmy3FDtYQBjx33JCcksAdDUDGcWNSDnn66BSqDiowXeWol?comment_id=4199710516951073</v>
      </c>
      <c r="H742" t="s">
        <v>28</v>
      </c>
      <c r="I742" t="s">
        <v>2205</v>
      </c>
      <c r="J742" t="s">
        <v>2206</v>
      </c>
      <c r="K742" t="str">
        <f>HYPERLINK("https://www.facebook.com/100000562029761")</f>
        <v>https://www.facebook.com/100000562029761</v>
      </c>
      <c r="M742" t="s">
        <v>40</v>
      </c>
      <c r="N742" t="s">
        <v>31</v>
      </c>
      <c r="O742" t="s">
        <v>813</v>
      </c>
      <c r="P742" t="str">
        <f>HYPERLINK("https://www.facebook.com/264234810584424")</f>
        <v>https://www.facebook.com/264234810584424</v>
      </c>
      <c r="Q742">
        <v>559985</v>
      </c>
      <c r="R742" t="s">
        <v>32</v>
      </c>
      <c r="S742" t="s">
        <v>2207</v>
      </c>
      <c r="T742" t="s">
        <v>34</v>
      </c>
      <c r="U742" t="s">
        <v>41</v>
      </c>
      <c r="V742" t="s">
        <v>42</v>
      </c>
    </row>
    <row r="743" spans="1:22" ht="16">
      <c r="A743" t="s">
        <v>973</v>
      </c>
      <c r="B743" t="s">
        <v>2203</v>
      </c>
      <c r="C743" t="s">
        <v>80</v>
      </c>
      <c r="D743" t="s">
        <v>2208</v>
      </c>
      <c r="E743" t="s">
        <v>74</v>
      </c>
      <c r="F743" t="s">
        <v>3</v>
      </c>
      <c r="G743" t="str">
        <f>HYPERLINK("https://www.facebook.com/permalink.php?story_fbid=pfbid02rbt51TUb57HR4F6gBd5FwSTuyaUp3gHvM6gsAExHboTPbUq2FdNvTKt3sBpRB8pml&amp;id=100006975138432&amp;comment_id=934171585780668")</f>
        <v>https://www.facebook.com/permalink.php?story_fbid=pfbid02rbt51TUb57HR4F6gBd5FwSTuyaUp3gHvM6gsAExHboTPbUq2FdNvTKt3sBpRB8pml&amp;id=100006975138432&amp;comment_id=934171585780668</v>
      </c>
      <c r="H743" t="s">
        <v>28</v>
      </c>
      <c r="I743" t="s">
        <v>2209</v>
      </c>
      <c r="K743" t="str">
        <f>HYPERLINK("https://www.facebook.com/100001570083283")</f>
        <v>https://www.facebook.com/100001570083283</v>
      </c>
      <c r="M743" t="s">
        <v>40</v>
      </c>
      <c r="N743" t="s">
        <v>31</v>
      </c>
      <c r="O743" t="s">
        <v>1399</v>
      </c>
      <c r="P743" t="str">
        <f>HYPERLINK("https://www.facebook.com/100006975138432")</f>
        <v>https://www.facebook.com/100006975138432</v>
      </c>
      <c r="R743" t="s">
        <v>32</v>
      </c>
      <c r="S743" t="s">
        <v>188</v>
      </c>
      <c r="T743" t="s">
        <v>34</v>
      </c>
      <c r="U743" t="s">
        <v>58</v>
      </c>
      <c r="V743" t="s">
        <v>58</v>
      </c>
    </row>
    <row r="744" spans="1:22" ht="16">
      <c r="A744" t="s">
        <v>973</v>
      </c>
      <c r="B744" t="s">
        <v>2210</v>
      </c>
      <c r="C744" t="s">
        <v>24</v>
      </c>
      <c r="D744" t="s">
        <v>44</v>
      </c>
      <c r="E744" t="s">
        <v>45</v>
      </c>
      <c r="F744" t="s">
        <v>46</v>
      </c>
      <c r="G744" t="str">
        <f>HYPERLINK("https://www.facebook.com/4290407981273656")</f>
        <v>https://www.facebook.com/4290407981273656</v>
      </c>
      <c r="H744" t="s">
        <v>28</v>
      </c>
      <c r="I744" t="s">
        <v>2211</v>
      </c>
      <c r="J744" t="s">
        <v>2212</v>
      </c>
      <c r="K744" t="str">
        <f>HYPERLINK("https://www.facebook.com/100009134880422")</f>
        <v>https://www.facebook.com/100009134880422</v>
      </c>
      <c r="L744">
        <v>16</v>
      </c>
      <c r="M744" t="s">
        <v>40</v>
      </c>
      <c r="N744" t="s">
        <v>31</v>
      </c>
      <c r="O744" t="s">
        <v>2211</v>
      </c>
      <c r="P744" t="str">
        <f>HYPERLINK("https://www.facebook.com/100009134880422")</f>
        <v>https://www.facebook.com/100009134880422</v>
      </c>
      <c r="Q744">
        <v>16</v>
      </c>
      <c r="R744" t="s">
        <v>32</v>
      </c>
      <c r="S744" t="s">
        <v>33</v>
      </c>
      <c r="T744" t="s">
        <v>34</v>
      </c>
      <c r="U744" t="s">
        <v>235</v>
      </c>
      <c r="V744" t="s">
        <v>236</v>
      </c>
    </row>
    <row r="745" spans="1:22" ht="16">
      <c r="A745" t="s">
        <v>973</v>
      </c>
      <c r="B745" t="s">
        <v>2213</v>
      </c>
      <c r="C745" t="s">
        <v>24</v>
      </c>
      <c r="D745" t="s">
        <v>1584</v>
      </c>
      <c r="E745" t="s">
        <v>26</v>
      </c>
      <c r="F745" t="s">
        <v>3</v>
      </c>
      <c r="G745" t="str">
        <f>HYPERLINK("https://www.facebook.com/1847630719278207")</f>
        <v>https://www.facebook.com/1847630719278207</v>
      </c>
      <c r="H745" t="s">
        <v>28</v>
      </c>
      <c r="I745" t="s">
        <v>2214</v>
      </c>
      <c r="K745" t="str">
        <f>HYPERLINK("https://www.facebook.com/100020938903451")</f>
        <v>https://www.facebook.com/100020938903451</v>
      </c>
      <c r="M745" t="s">
        <v>30</v>
      </c>
      <c r="N745" t="s">
        <v>31</v>
      </c>
      <c r="O745" t="s">
        <v>2214</v>
      </c>
      <c r="P745" t="str">
        <f>HYPERLINK("https://www.facebook.com/100020938903451")</f>
        <v>https://www.facebook.com/100020938903451</v>
      </c>
      <c r="R745" t="s">
        <v>32</v>
      </c>
      <c r="S745" t="s">
        <v>33</v>
      </c>
      <c r="T745" t="s">
        <v>34</v>
      </c>
      <c r="U745" t="s">
        <v>899</v>
      </c>
      <c r="V745" t="s">
        <v>900</v>
      </c>
    </row>
    <row r="746" spans="1:22" ht="16">
      <c r="A746" t="s">
        <v>973</v>
      </c>
      <c r="B746" t="s">
        <v>2215</v>
      </c>
      <c r="C746" t="s">
        <v>72</v>
      </c>
      <c r="D746" t="s">
        <v>2216</v>
      </c>
      <c r="E746" t="s">
        <v>74</v>
      </c>
      <c r="F746" t="s">
        <v>3</v>
      </c>
      <c r="G746" t="str">
        <f>HYPERLINK("https://www.facebook.com/antonov.vs/posts/pfbid0WoDA925DuzoodzbS7V28bt4ds9TmfsHEXjvxieTXWzQ3cuc53piJ6r5PvYjhKEdjl?comment_id=930292682889963")</f>
        <v>https://www.facebook.com/antonov.vs/posts/pfbid0WoDA925DuzoodzbS7V28bt4ds9TmfsHEXjvxieTXWzQ3cuc53piJ6r5PvYjhKEdjl?comment_id=930292682889963</v>
      </c>
      <c r="H746" t="s">
        <v>28</v>
      </c>
      <c r="I746" t="s">
        <v>2217</v>
      </c>
      <c r="J746" t="s">
        <v>2218</v>
      </c>
      <c r="K746" t="str">
        <f>HYPERLINK("https://www.facebook.com/100004620513218")</f>
        <v>https://www.facebook.com/100004620513218</v>
      </c>
      <c r="M746" t="s">
        <v>30</v>
      </c>
      <c r="N746" t="s">
        <v>31</v>
      </c>
      <c r="O746" t="s">
        <v>1127</v>
      </c>
      <c r="P746" t="str">
        <f>HYPERLINK("https://www.facebook.com/100002292546539")</f>
        <v>https://www.facebook.com/100002292546539</v>
      </c>
      <c r="Q746">
        <v>485</v>
      </c>
      <c r="R746" t="s">
        <v>32</v>
      </c>
      <c r="S746" t="s">
        <v>33</v>
      </c>
      <c r="T746" t="s">
        <v>240</v>
      </c>
      <c r="U746" t="s">
        <v>1743</v>
      </c>
      <c r="V746" t="s">
        <v>2219</v>
      </c>
    </row>
    <row r="747" spans="1:22" ht="16">
      <c r="A747" t="s">
        <v>973</v>
      </c>
      <c r="B747" t="s">
        <v>2215</v>
      </c>
      <c r="C747" t="s">
        <v>80</v>
      </c>
      <c r="D747" t="s">
        <v>2220</v>
      </c>
      <c r="E747" t="s">
        <v>74</v>
      </c>
      <c r="F747" t="s">
        <v>3</v>
      </c>
      <c r="G747" t="str">
        <f>HYPERLINK("https://www.facebook.com/westukrnews/posts/pfbid05KpJzZfAmc7DG6HMNPojmy3FDtYQBjx33JCcksAdDUDGcWNSDnn66BSqDiowXeWol?comment_id=891153840405764")</f>
        <v>https://www.facebook.com/westukrnews/posts/pfbid05KpJzZfAmc7DG6HMNPojmy3FDtYQBjx33JCcksAdDUDGcWNSDnn66BSqDiowXeWol?comment_id=891153840405764</v>
      </c>
      <c r="H747" t="s">
        <v>28</v>
      </c>
      <c r="I747" t="s">
        <v>2221</v>
      </c>
      <c r="K747" t="str">
        <f>HYPERLINK("https://www.facebook.com/100067591995475")</f>
        <v>https://www.facebook.com/100067591995475</v>
      </c>
      <c r="M747" t="s">
        <v>30</v>
      </c>
      <c r="N747" t="s">
        <v>31</v>
      </c>
      <c r="O747" t="s">
        <v>813</v>
      </c>
      <c r="P747" t="str">
        <f>HYPERLINK("https://www.facebook.com/264234810584424")</f>
        <v>https://www.facebook.com/264234810584424</v>
      </c>
      <c r="Q747">
        <v>559985</v>
      </c>
      <c r="R747" t="s">
        <v>32</v>
      </c>
      <c r="S747" t="s">
        <v>33</v>
      </c>
      <c r="T747" t="s">
        <v>34</v>
      </c>
      <c r="U747" t="s">
        <v>235</v>
      </c>
      <c r="V747" t="s">
        <v>2222</v>
      </c>
    </row>
    <row r="748" spans="1:21" ht="16">
      <c r="A748" t="s">
        <v>973</v>
      </c>
      <c r="B748" t="s">
        <v>2223</v>
      </c>
      <c r="C748" t="s">
        <v>768</v>
      </c>
      <c r="D748" t="s">
        <v>2224</v>
      </c>
      <c r="E748" t="s">
        <v>74</v>
      </c>
      <c r="F748" t="s">
        <v>1230</v>
      </c>
      <c r="G748" t="str">
        <f>HYPERLINK("https://www.facebook.com/permalink.php?story_fbid=pfbid0szG6DqrsnXjsMxAE2TRzSyQSFAtZtYFcgHfmnDRpXy1wejfFXLYfZMEiwsi7RmMjl&amp;id=100090843379637&amp;comment_id=1420676526176956&amp;reply_comment_id=1064080313038227")</f>
        <v>https://www.facebook.com/permalink.php?story_fbid=pfbid0szG6DqrsnXjsMxAE2TRzSyQSFAtZtYFcgHfmnDRpXy1wejfFXLYfZMEiwsi7RmMjl&amp;id=100090843379637&amp;comment_id=1420676526176956&amp;reply_comment_id=1064080313038227</v>
      </c>
      <c r="H748" t="s">
        <v>28</v>
      </c>
      <c r="I748" t="s">
        <v>876</v>
      </c>
      <c r="K748" t="str">
        <f>HYPERLINK("https://www.facebook.com/100090843379637")</f>
        <v>https://www.facebook.com/100090843379637</v>
      </c>
      <c r="M748" t="s">
        <v>40</v>
      </c>
      <c r="N748" t="s">
        <v>31</v>
      </c>
      <c r="O748" t="s">
        <v>876</v>
      </c>
      <c r="P748" t="str">
        <f>HYPERLINK("https://www.facebook.com/100090843379637")</f>
        <v>https://www.facebook.com/100090843379637</v>
      </c>
      <c r="R748" t="s">
        <v>32</v>
      </c>
      <c r="S748" t="s">
        <v>1776</v>
      </c>
      <c r="T748" t="s">
        <v>34</v>
      </c>
      <c r="U748" t="s">
        <v>309</v>
      </c>
    </row>
    <row r="749" spans="1:20" ht="16">
      <c r="A749" t="s">
        <v>973</v>
      </c>
      <c r="B749" t="s">
        <v>2225</v>
      </c>
      <c r="C749" t="s">
        <v>24</v>
      </c>
      <c r="D749" t="s">
        <v>2007</v>
      </c>
      <c r="E749" t="s">
        <v>45</v>
      </c>
      <c r="F749" t="s">
        <v>281</v>
      </c>
      <c r="G749" t="str">
        <f>HYPERLINK("https://twitter.com/Kuzakina2/status/2027513513673920899")</f>
        <v>https://twitter.com/Kuzakina2/status/2027513513673920899</v>
      </c>
      <c r="H749" t="s">
        <v>28</v>
      </c>
      <c r="I749" t="s">
        <v>2226</v>
      </c>
      <c r="J749" t="s">
        <v>2227</v>
      </c>
      <c r="K749" t="str">
        <f>HYPERLINK("http://twitter.com/Kuzakina2")</f>
        <v>http://twitter.com/Kuzakina2</v>
      </c>
      <c r="L749">
        <v>318</v>
      </c>
      <c r="N749" t="s">
        <v>278</v>
      </c>
      <c r="R749" t="s">
        <v>32</v>
      </c>
      <c r="S749" t="s">
        <v>33</v>
      </c>
      <c r="T749" t="s">
        <v>34</v>
      </c>
    </row>
    <row r="750" spans="1:22" ht="16">
      <c r="A750" t="s">
        <v>973</v>
      </c>
      <c r="B750" t="s">
        <v>2228</v>
      </c>
      <c r="C750" t="s">
        <v>24</v>
      </c>
      <c r="D750" t="s">
        <v>254</v>
      </c>
      <c r="E750" t="s">
        <v>45</v>
      </c>
      <c r="F750" t="s">
        <v>46</v>
      </c>
      <c r="G750" t="str">
        <f>HYPERLINK("https://www.facebook.com/25575700118793350")</f>
        <v>https://www.facebook.com/25575700118793350</v>
      </c>
      <c r="H750" t="s">
        <v>28</v>
      </c>
      <c r="I750" t="s">
        <v>2229</v>
      </c>
      <c r="J750" t="s">
        <v>2230</v>
      </c>
      <c r="K750" t="str">
        <f>HYPERLINK("https://www.facebook.com/100003401381162")</f>
        <v>https://www.facebook.com/100003401381162</v>
      </c>
      <c r="M750" t="s">
        <v>40</v>
      </c>
      <c r="N750" t="s">
        <v>31</v>
      </c>
      <c r="O750" t="s">
        <v>2229</v>
      </c>
      <c r="P750" t="str">
        <f>HYPERLINK("https://www.facebook.com/100003401381162")</f>
        <v>https://www.facebook.com/100003401381162</v>
      </c>
      <c r="R750" t="s">
        <v>32</v>
      </c>
      <c r="S750" t="s">
        <v>33</v>
      </c>
      <c r="T750" t="s">
        <v>86</v>
      </c>
      <c r="U750" t="s">
        <v>2231</v>
      </c>
      <c r="V750" t="s">
        <v>2231</v>
      </c>
    </row>
    <row r="751" spans="1:22" ht="16">
      <c r="A751" t="s">
        <v>973</v>
      </c>
      <c r="B751" t="s">
        <v>2228</v>
      </c>
      <c r="C751" t="s">
        <v>80</v>
      </c>
      <c r="D751" t="s">
        <v>2232</v>
      </c>
      <c r="E751" t="s">
        <v>74</v>
      </c>
      <c r="F751" t="s">
        <v>3</v>
      </c>
      <c r="G751" t="str">
        <f>HYPERLINK("https://www.facebook.com/westukrnews/posts/pfbid05KpJzZfAmc7DG6HMNPojmy3FDtYQBjx33JCcksAdDUDGcWNSDnn66BSqDiowXeWol?comment_id=1242593900712516")</f>
        <v>https://www.facebook.com/westukrnews/posts/pfbid05KpJzZfAmc7DG6HMNPojmy3FDtYQBjx33JCcksAdDUDGcWNSDnn66BSqDiowXeWol?comment_id=1242593900712516</v>
      </c>
      <c r="H751" t="s">
        <v>28</v>
      </c>
      <c r="I751" t="s">
        <v>2233</v>
      </c>
      <c r="K751" t="str">
        <f>HYPERLINK("https://www.facebook.com/100030536195910")</f>
        <v>https://www.facebook.com/100030536195910</v>
      </c>
      <c r="M751" t="s">
        <v>40</v>
      </c>
      <c r="N751" t="s">
        <v>31</v>
      </c>
      <c r="O751" t="s">
        <v>813</v>
      </c>
      <c r="P751" t="str">
        <f>HYPERLINK("https://www.facebook.com/264234810584424")</f>
        <v>https://www.facebook.com/264234810584424</v>
      </c>
      <c r="Q751">
        <v>559985</v>
      </c>
      <c r="R751" t="s">
        <v>32</v>
      </c>
      <c r="S751" t="s">
        <v>33</v>
      </c>
      <c r="T751" t="s">
        <v>34</v>
      </c>
      <c r="U751" t="s">
        <v>478</v>
      </c>
      <c r="V751" t="s">
        <v>2234</v>
      </c>
    </row>
    <row r="752" spans="1:22" ht="16">
      <c r="A752" t="s">
        <v>973</v>
      </c>
      <c r="B752" t="s">
        <v>962</v>
      </c>
      <c r="C752" t="s">
        <v>80</v>
      </c>
      <c r="D752" t="s">
        <v>2235</v>
      </c>
      <c r="E752" t="s">
        <v>74</v>
      </c>
      <c r="F752" t="s">
        <v>3</v>
      </c>
      <c r="G752" t="str">
        <f>HYPERLINK("https://www.facebook.com/permalink.php?story_fbid=pfbid02rbt51TUb57HR4F6gBd5FwSTuyaUp3gHvM6gsAExHboTPbUq2FdNvTKt3sBpRB8pml&amp;id=100006975138432&amp;comment_id=935669332370068")</f>
        <v>https://www.facebook.com/permalink.php?story_fbid=pfbid02rbt51TUb57HR4F6gBd5FwSTuyaUp3gHvM6gsAExHboTPbUq2FdNvTKt3sBpRB8pml&amp;id=100006975138432&amp;comment_id=935669332370068</v>
      </c>
      <c r="H752" t="s">
        <v>28</v>
      </c>
      <c r="I752" t="s">
        <v>2236</v>
      </c>
      <c r="K752" t="str">
        <f>HYPERLINK("https://www.facebook.com/61556083420258")</f>
        <v>https://www.facebook.com/61556083420258</v>
      </c>
      <c r="M752" t="s">
        <v>30</v>
      </c>
      <c r="N752" t="s">
        <v>31</v>
      </c>
      <c r="O752" t="s">
        <v>1399</v>
      </c>
      <c r="P752" t="str">
        <f>HYPERLINK("https://www.facebook.com/100006975138432")</f>
        <v>https://www.facebook.com/100006975138432</v>
      </c>
      <c r="R752" t="s">
        <v>32</v>
      </c>
      <c r="S752" t="s">
        <v>85</v>
      </c>
      <c r="T752" t="s">
        <v>34</v>
      </c>
      <c r="U752" t="s">
        <v>58</v>
      </c>
      <c r="V752" t="s">
        <v>58</v>
      </c>
    </row>
    <row r="753" spans="1:22" ht="16">
      <c r="A753" t="s">
        <v>973</v>
      </c>
      <c r="B753" t="s">
        <v>2237</v>
      </c>
      <c r="C753" t="s">
        <v>80</v>
      </c>
      <c r="D753" t="s">
        <v>2238</v>
      </c>
      <c r="E753" t="s">
        <v>74</v>
      </c>
      <c r="F753" t="s">
        <v>3</v>
      </c>
      <c r="G753" t="str">
        <f>HYPERLINK("https://www.facebook.com/permalink.php?story_fbid=pfbid02rbt51TUb57HR4F6gBd5FwSTuyaUp3gHvM6gsAExHboTPbUq2FdNvTKt3sBpRB8pml&amp;id=100006975138432&amp;comment_id=812785477738842")</f>
        <v>https://www.facebook.com/permalink.php?story_fbid=pfbid02rbt51TUb57HR4F6gBd5FwSTuyaUp3gHvM6gsAExHboTPbUq2FdNvTKt3sBpRB8pml&amp;id=100006975138432&amp;comment_id=812785477738842</v>
      </c>
      <c r="H753" t="s">
        <v>28</v>
      </c>
      <c r="I753" t="s">
        <v>2239</v>
      </c>
      <c r="K753" t="str">
        <f>HYPERLINK("https://www.facebook.com/100015948936677")</f>
        <v>https://www.facebook.com/100015948936677</v>
      </c>
      <c r="M753" t="s">
        <v>40</v>
      </c>
      <c r="N753" t="s">
        <v>31</v>
      </c>
      <c r="O753" t="s">
        <v>1399</v>
      </c>
      <c r="P753" t="str">
        <f>HYPERLINK("https://www.facebook.com/100006975138432")</f>
        <v>https://www.facebook.com/100006975138432</v>
      </c>
      <c r="R753" t="s">
        <v>32</v>
      </c>
      <c r="S753" t="s">
        <v>33</v>
      </c>
      <c r="T753" t="s">
        <v>34</v>
      </c>
      <c r="U753" t="s">
        <v>158</v>
      </c>
      <c r="V753" t="s">
        <v>159</v>
      </c>
    </row>
    <row r="754" spans="1:22" ht="16">
      <c r="A754" t="s">
        <v>973</v>
      </c>
      <c r="B754" t="s">
        <v>2240</v>
      </c>
      <c r="C754" t="s">
        <v>80</v>
      </c>
      <c r="D754" t="s">
        <v>2241</v>
      </c>
      <c r="E754" t="s">
        <v>74</v>
      </c>
      <c r="F754" t="s">
        <v>3</v>
      </c>
      <c r="G754" t="str">
        <f>HYPERLINK("https://www.facebook.com/permalink.php?story_fbid=pfbid02rbt51TUb57HR4F6gBd5FwSTuyaUp3gHvM6gsAExHboTPbUq2FdNvTKt3sBpRB8pml&amp;id=100006975138432&amp;comment_id=978297395372761&amp;reply_comment_id=1665063791522855")</f>
        <v>https://www.facebook.com/permalink.php?story_fbid=pfbid02rbt51TUb57HR4F6gBd5FwSTuyaUp3gHvM6gsAExHboTPbUq2FdNvTKt3sBpRB8pml&amp;id=100006975138432&amp;comment_id=978297395372761&amp;reply_comment_id=1665063791522855</v>
      </c>
      <c r="H754" t="s">
        <v>28</v>
      </c>
      <c r="I754" t="s">
        <v>2242</v>
      </c>
      <c r="K754" t="str">
        <f>HYPERLINK("https://www.facebook.com/100076959711133")</f>
        <v>https://www.facebook.com/100076959711133</v>
      </c>
      <c r="M754" t="s">
        <v>30</v>
      </c>
      <c r="N754" t="s">
        <v>31</v>
      </c>
      <c r="O754" t="s">
        <v>1399</v>
      </c>
      <c r="P754" t="str">
        <f>HYPERLINK("https://www.facebook.com/100006975138432")</f>
        <v>https://www.facebook.com/100006975138432</v>
      </c>
      <c r="R754" t="s">
        <v>32</v>
      </c>
      <c r="S754" t="s">
        <v>85</v>
      </c>
      <c r="T754" t="s">
        <v>34</v>
      </c>
      <c r="U754" t="s">
        <v>58</v>
      </c>
      <c r="V754" t="s">
        <v>58</v>
      </c>
    </row>
    <row r="755" spans="1:22" ht="16">
      <c r="A755" t="s">
        <v>973</v>
      </c>
      <c r="B755" t="s">
        <v>2240</v>
      </c>
      <c r="C755" t="s">
        <v>80</v>
      </c>
      <c r="D755" t="s">
        <v>2243</v>
      </c>
      <c r="E755" t="s">
        <v>74</v>
      </c>
      <c r="F755" t="s">
        <v>3</v>
      </c>
      <c r="G755" t="str">
        <f>HYPERLINK("https://www.facebook.com/westukrnews/posts/pfbid05KpJzZfAmc7DG6HMNPojmy3FDtYQBjx33JCcksAdDUDGcWNSDnn66BSqDiowXeWol?comment_id=1974470660138360")</f>
        <v>https://www.facebook.com/westukrnews/posts/pfbid05KpJzZfAmc7DG6HMNPojmy3FDtYQBjx33JCcksAdDUDGcWNSDnn66BSqDiowXeWol?comment_id=1974470660138360</v>
      </c>
      <c r="H755" t="s">
        <v>28</v>
      </c>
      <c r="I755" t="s">
        <v>2244</v>
      </c>
      <c r="J755" t="s">
        <v>2245</v>
      </c>
      <c r="K755" t="str">
        <f>HYPERLINK("https://www.facebook.com/100003085602307")</f>
        <v>https://www.facebook.com/100003085602307</v>
      </c>
      <c r="M755" t="s">
        <v>40</v>
      </c>
      <c r="N755" t="s">
        <v>31</v>
      </c>
      <c r="O755" t="s">
        <v>813</v>
      </c>
      <c r="P755" t="str">
        <f>HYPERLINK("https://www.facebook.com/264234810584424")</f>
        <v>https://www.facebook.com/264234810584424</v>
      </c>
      <c r="Q755">
        <v>559985</v>
      </c>
      <c r="R755" t="s">
        <v>32</v>
      </c>
      <c r="S755" t="s">
        <v>33</v>
      </c>
      <c r="T755" t="s">
        <v>34</v>
      </c>
      <c r="U755" t="s">
        <v>408</v>
      </c>
      <c r="V755" t="s">
        <v>2246</v>
      </c>
    </row>
    <row r="756" spans="1:22" ht="16">
      <c r="A756" t="s">
        <v>973</v>
      </c>
      <c r="B756" t="s">
        <v>2247</v>
      </c>
      <c r="C756" t="s">
        <v>768</v>
      </c>
      <c r="D756" t="s">
        <v>2248</v>
      </c>
      <c r="E756" t="s">
        <v>74</v>
      </c>
      <c r="F756" t="s">
        <v>3</v>
      </c>
      <c r="G756" t="str">
        <f>HYPERLINK("https://www.facebook.com/toyelviv/posts/pfbid02HyVHmdRrHaKvpJCV4k8sSATEQmB44tvrgpepSrJQ66Qs74jVAzPQ6qaz5ZMHUoNBl?comment_id=26975600985374069")</f>
        <v>https://www.facebook.com/toyelviv/posts/pfbid02HyVHmdRrHaKvpJCV4k8sSATEQmB44tvrgpepSrJQ66Qs74jVAzPQ6qaz5ZMHUoNBl?comment_id=26975600985374069</v>
      </c>
      <c r="H756" t="s">
        <v>28</v>
      </c>
      <c r="I756" t="s">
        <v>2249</v>
      </c>
      <c r="J756" t="s">
        <v>2250</v>
      </c>
      <c r="K756" t="str">
        <f>HYPERLINK("https://www.facebook.com/100042546870967")</f>
        <v>https://www.facebook.com/100042546870967</v>
      </c>
      <c r="M756" t="s">
        <v>30</v>
      </c>
      <c r="N756" t="s">
        <v>31</v>
      </c>
      <c r="O756" t="s">
        <v>1559</v>
      </c>
      <c r="P756" t="str">
        <f>HYPERLINK("https://www.facebook.com/320892981422193")</f>
        <v>https://www.facebook.com/320892981422193</v>
      </c>
      <c r="Q756">
        <v>293869</v>
      </c>
      <c r="R756" t="s">
        <v>32</v>
      </c>
      <c r="S756" t="s">
        <v>85</v>
      </c>
      <c r="T756" t="s">
        <v>935</v>
      </c>
      <c r="U756" t="s">
        <v>936</v>
      </c>
      <c r="V756" t="s">
        <v>937</v>
      </c>
    </row>
    <row r="757" spans="1:19" ht="16">
      <c r="A757" t="s">
        <v>973</v>
      </c>
      <c r="B757" t="s">
        <v>2247</v>
      </c>
      <c r="C757" t="s">
        <v>24</v>
      </c>
      <c r="D757" t="s">
        <v>2251</v>
      </c>
      <c r="E757" t="s">
        <v>45</v>
      </c>
      <c r="F757" t="s">
        <v>1977</v>
      </c>
      <c r="G757" t="str">
        <f>HYPERLINK("https://www.threads.net/@lyudmylagulik/post/DVRzaXSDQSD")</f>
        <v>https://www.threads.net/@lyudmylagulik/post/DVRzaXSDQSD</v>
      </c>
      <c r="H757" t="s">
        <v>28</v>
      </c>
      <c r="I757" t="s">
        <v>2252</v>
      </c>
      <c r="J757" t="s">
        <v>2253</v>
      </c>
      <c r="K757" t="str">
        <f>HYPERLINK("https://www.threads.net/@lyudmylagulik")</f>
        <v>https://www.threads.net/@lyudmylagulik</v>
      </c>
      <c r="L757">
        <v>40</v>
      </c>
      <c r="M757" t="s">
        <v>30</v>
      </c>
      <c r="N757" t="s">
        <v>1980</v>
      </c>
      <c r="R757" t="s">
        <v>32</v>
      </c>
      <c r="S757" t="s">
        <v>33</v>
      </c>
    </row>
    <row r="758" spans="1:22" ht="16">
      <c r="A758" t="s">
        <v>973</v>
      </c>
      <c r="B758" t="s">
        <v>2254</v>
      </c>
      <c r="C758" t="s">
        <v>80</v>
      </c>
      <c r="D758" t="s">
        <v>2255</v>
      </c>
      <c r="E758" t="s">
        <v>74</v>
      </c>
      <c r="F758" t="s">
        <v>3</v>
      </c>
      <c r="G758" t="str">
        <f>HYPERLINK("https://www.facebook.com/permalink.php?story_fbid=pfbid02rbt51TUb57HR4F6gBd5FwSTuyaUp3gHvM6gsAExHboTPbUq2FdNvTKt3sBpRB8pml&amp;id=100006975138432&amp;comment_id=1698733681535410")</f>
        <v>https://www.facebook.com/permalink.php?story_fbid=pfbid02rbt51TUb57HR4F6gBd5FwSTuyaUp3gHvM6gsAExHboTPbUq2FdNvTKt3sBpRB8pml&amp;id=100006975138432&amp;comment_id=1698733681535410</v>
      </c>
      <c r="H758" t="s">
        <v>28</v>
      </c>
      <c r="I758" t="s">
        <v>2256</v>
      </c>
      <c r="K758" t="str">
        <f>HYPERLINK("https://www.facebook.com/100004020015957")</f>
        <v>https://www.facebook.com/100004020015957</v>
      </c>
      <c r="L758">
        <v>5813</v>
      </c>
      <c r="M758" t="s">
        <v>40</v>
      </c>
      <c r="N758" t="s">
        <v>31</v>
      </c>
      <c r="O758" t="s">
        <v>1399</v>
      </c>
      <c r="P758" t="str">
        <f>HYPERLINK("https://www.facebook.com/100006975138432")</f>
        <v>https://www.facebook.com/100006975138432</v>
      </c>
      <c r="R758" t="s">
        <v>32</v>
      </c>
      <c r="S758" t="s">
        <v>85</v>
      </c>
      <c r="T758" t="s">
        <v>1032</v>
      </c>
      <c r="U758" t="s">
        <v>1654</v>
      </c>
      <c r="V758" t="s">
        <v>1654</v>
      </c>
    </row>
    <row r="759" spans="1:22" ht="16">
      <c r="A759" t="s">
        <v>973</v>
      </c>
      <c r="B759" t="s">
        <v>2257</v>
      </c>
      <c r="C759" t="s">
        <v>80</v>
      </c>
      <c r="D759" t="s">
        <v>2258</v>
      </c>
      <c r="E759" t="s">
        <v>74</v>
      </c>
      <c r="F759" t="s">
        <v>3</v>
      </c>
      <c r="G759" t="str">
        <f>HYPERLINK("https://www.facebook.com/westukrnews/posts/pfbid05KpJzZfAmc7DG6HMNPojmy3FDtYQBjx33JCcksAdDUDGcWNSDnn66BSqDiowXeWol?comment_id=1815516852740142")</f>
        <v>https://www.facebook.com/westukrnews/posts/pfbid05KpJzZfAmc7DG6HMNPojmy3FDtYQBjx33JCcksAdDUDGcWNSDnn66BSqDiowXeWol?comment_id=1815516852740142</v>
      </c>
      <c r="H759" t="s">
        <v>28</v>
      </c>
      <c r="I759" t="s">
        <v>2259</v>
      </c>
      <c r="K759" t="str">
        <f>HYPERLINK("https://www.facebook.com/100040733253596")</f>
        <v>https://www.facebook.com/100040733253596</v>
      </c>
      <c r="M759" t="s">
        <v>30</v>
      </c>
      <c r="N759" t="s">
        <v>31</v>
      </c>
      <c r="O759" t="s">
        <v>813</v>
      </c>
      <c r="P759" t="str">
        <f>HYPERLINK("https://www.facebook.com/264234810584424")</f>
        <v>https://www.facebook.com/264234810584424</v>
      </c>
      <c r="Q759">
        <v>559985</v>
      </c>
      <c r="R759" t="s">
        <v>32</v>
      </c>
      <c r="S759" t="s">
        <v>33</v>
      </c>
      <c r="T759" t="s">
        <v>34</v>
      </c>
      <c r="U759" t="s">
        <v>487</v>
      </c>
      <c r="V759" t="s">
        <v>814</v>
      </c>
    </row>
    <row r="760" spans="1:22" ht="16">
      <c r="A760" t="s">
        <v>973</v>
      </c>
      <c r="B760" t="s">
        <v>2257</v>
      </c>
      <c r="C760" t="s">
        <v>768</v>
      </c>
      <c r="D760" t="s">
        <v>2260</v>
      </c>
      <c r="E760" t="s">
        <v>74</v>
      </c>
      <c r="F760" t="s">
        <v>3</v>
      </c>
      <c r="G760" t="str">
        <f>HYPERLINK("https://www.facebook.com/toyelviv/posts/pfbid02HyVHmdRrHaKvpJCV4k8sSATEQmB44tvrgpepSrJQ66Qs74jVAzPQ6qaz5ZMHUoNBl?comment_id=779272504768234")</f>
        <v>https://www.facebook.com/toyelviv/posts/pfbid02HyVHmdRrHaKvpJCV4k8sSATEQmB44tvrgpepSrJQ66Qs74jVAzPQ6qaz5ZMHUoNBl?comment_id=779272504768234</v>
      </c>
      <c r="H760" t="s">
        <v>28</v>
      </c>
      <c r="I760" t="s">
        <v>2049</v>
      </c>
      <c r="K760" t="str">
        <f>HYPERLINK("https://www.facebook.com/100009106333049")</f>
        <v>https://www.facebook.com/100009106333049</v>
      </c>
      <c r="M760" t="s">
        <v>30</v>
      </c>
      <c r="N760" t="s">
        <v>31</v>
      </c>
      <c r="O760" t="s">
        <v>1559</v>
      </c>
      <c r="P760" t="str">
        <f>HYPERLINK("https://www.facebook.com/320892981422193")</f>
        <v>https://www.facebook.com/320892981422193</v>
      </c>
      <c r="Q760">
        <v>293869</v>
      </c>
      <c r="R760" t="s">
        <v>32</v>
      </c>
      <c r="S760" t="s">
        <v>33</v>
      </c>
      <c r="T760" t="s">
        <v>34</v>
      </c>
      <c r="U760" t="s">
        <v>167</v>
      </c>
      <c r="V760" t="s">
        <v>2050</v>
      </c>
    </row>
    <row r="761" spans="1:22" ht="16">
      <c r="A761" t="s">
        <v>973</v>
      </c>
      <c r="B761" t="s">
        <v>2261</v>
      </c>
      <c r="C761" t="s">
        <v>80</v>
      </c>
      <c r="D761" t="s">
        <v>2262</v>
      </c>
      <c r="E761" t="s">
        <v>74</v>
      </c>
      <c r="F761" t="s">
        <v>3</v>
      </c>
      <c r="G761" t="str">
        <f>HYPERLINK("https://www.facebook.com/permalink.php?story_fbid=pfbid02rbt51TUb57HR4F6gBd5FwSTuyaUp3gHvM6gsAExHboTPbUq2FdNvTKt3sBpRB8pml&amp;id=100006975138432&amp;comment_id=1279714044046537")</f>
        <v>https://www.facebook.com/permalink.php?story_fbid=pfbid02rbt51TUb57HR4F6gBd5FwSTuyaUp3gHvM6gsAExHboTPbUq2FdNvTKt3sBpRB8pml&amp;id=100006975138432&amp;comment_id=1279714044046537</v>
      </c>
      <c r="H761" t="s">
        <v>28</v>
      </c>
      <c r="I761" t="s">
        <v>2049</v>
      </c>
      <c r="K761" t="str">
        <f>HYPERLINK("https://www.facebook.com/100009106333049")</f>
        <v>https://www.facebook.com/100009106333049</v>
      </c>
      <c r="M761" t="s">
        <v>30</v>
      </c>
      <c r="N761" t="s">
        <v>31</v>
      </c>
      <c r="O761" t="s">
        <v>1399</v>
      </c>
      <c r="P761" t="str">
        <f>HYPERLINK("https://www.facebook.com/100006975138432")</f>
        <v>https://www.facebook.com/100006975138432</v>
      </c>
      <c r="R761" t="s">
        <v>32</v>
      </c>
      <c r="S761" t="s">
        <v>33</v>
      </c>
      <c r="T761" t="s">
        <v>34</v>
      </c>
      <c r="U761" t="s">
        <v>167</v>
      </c>
      <c r="V761" t="s">
        <v>2050</v>
      </c>
    </row>
    <row r="762" spans="1:20" ht="16">
      <c r="A762" t="s">
        <v>973</v>
      </c>
      <c r="B762" t="s">
        <v>2263</v>
      </c>
      <c r="C762" t="s">
        <v>24</v>
      </c>
      <c r="D762" t="s">
        <v>2007</v>
      </c>
      <c r="E762" t="s">
        <v>45</v>
      </c>
      <c r="F762" t="s">
        <v>281</v>
      </c>
      <c r="G762" t="str">
        <f>HYPERLINK("https://twitter.com/lesya1533/status/2027509952047178102")</f>
        <v>https://twitter.com/lesya1533/status/2027509952047178102</v>
      </c>
      <c r="H762" t="s">
        <v>28</v>
      </c>
      <c r="I762" t="s">
        <v>2264</v>
      </c>
      <c r="J762" t="s">
        <v>2265</v>
      </c>
      <c r="K762" t="str">
        <f>HYPERLINK("http://twitter.com/lesya1533")</f>
        <v>http://twitter.com/lesya1533</v>
      </c>
      <c r="L762">
        <v>63</v>
      </c>
      <c r="M762" t="s">
        <v>30</v>
      </c>
      <c r="N762" t="s">
        <v>278</v>
      </c>
      <c r="R762" t="s">
        <v>32</v>
      </c>
      <c r="S762" t="s">
        <v>33</v>
      </c>
      <c r="T762" t="s">
        <v>34</v>
      </c>
    </row>
    <row r="763" spans="1:22" ht="16">
      <c r="A763" t="s">
        <v>973</v>
      </c>
      <c r="B763" t="s">
        <v>2266</v>
      </c>
      <c r="C763" t="s">
        <v>768</v>
      </c>
      <c r="D763" t="s">
        <v>2267</v>
      </c>
      <c r="E763" t="s">
        <v>74</v>
      </c>
      <c r="F763" t="s">
        <v>3</v>
      </c>
      <c r="G763" t="str">
        <f>HYPERLINK("https://www.facebook.com/permalink.php?story_fbid=pfbid0szG6DqrsnXjsMxAE2TRzSyQSFAtZtYFcgHfmnDRpXy1wejfFXLYfZMEiwsi7RmMjl&amp;id=100090843379637&amp;comment_id=1420676526176956")</f>
        <v>https://www.facebook.com/permalink.php?story_fbid=pfbid0szG6DqrsnXjsMxAE2TRzSyQSFAtZtYFcgHfmnDRpXy1wejfFXLYfZMEiwsi7RmMjl&amp;id=100090843379637&amp;comment_id=1420676526176956</v>
      </c>
      <c r="H763" t="s">
        <v>28</v>
      </c>
      <c r="I763" t="s">
        <v>2224</v>
      </c>
      <c r="J763" t="s">
        <v>2268</v>
      </c>
      <c r="K763" t="str">
        <f>HYPERLINK("https://www.facebook.com/100002121155792")</f>
        <v>https://www.facebook.com/100002121155792</v>
      </c>
      <c r="M763" t="s">
        <v>40</v>
      </c>
      <c r="N763" t="s">
        <v>31</v>
      </c>
      <c r="O763" t="s">
        <v>876</v>
      </c>
      <c r="P763" t="str">
        <f>HYPERLINK("https://www.facebook.com/100090843379637")</f>
        <v>https://www.facebook.com/100090843379637</v>
      </c>
      <c r="R763" t="s">
        <v>32</v>
      </c>
      <c r="S763" t="s">
        <v>85</v>
      </c>
      <c r="T763" t="s">
        <v>34</v>
      </c>
      <c r="U763" t="s">
        <v>167</v>
      </c>
      <c r="V763" t="s">
        <v>189</v>
      </c>
    </row>
    <row r="764" spans="1:20" ht="16">
      <c r="A764" t="s">
        <v>973</v>
      </c>
      <c r="B764" t="s">
        <v>2266</v>
      </c>
      <c r="C764" t="s">
        <v>24</v>
      </c>
      <c r="D764" t="s">
        <v>2007</v>
      </c>
      <c r="E764" t="s">
        <v>45</v>
      </c>
      <c r="F764" t="s">
        <v>281</v>
      </c>
      <c r="G764" t="str">
        <f>HYPERLINK("https://twitter.com/yriyyankiv1978/status/2027509331860566522")</f>
        <v>https://twitter.com/yriyyankiv1978/status/2027509331860566522</v>
      </c>
      <c r="H764" t="s">
        <v>28</v>
      </c>
      <c r="I764" t="s">
        <v>2269</v>
      </c>
      <c r="J764" t="s">
        <v>2270</v>
      </c>
      <c r="K764" t="str">
        <f>HYPERLINK("http://twitter.com/yriyyankiv1978")</f>
        <v>http://twitter.com/yriyyankiv1978</v>
      </c>
      <c r="L764">
        <v>42</v>
      </c>
      <c r="N764" t="s">
        <v>278</v>
      </c>
      <c r="R764" t="s">
        <v>32</v>
      </c>
      <c r="S764" t="s">
        <v>33</v>
      </c>
      <c r="T764" t="s">
        <v>117</v>
      </c>
    </row>
    <row r="765" spans="1:22" ht="16">
      <c r="A765" t="s">
        <v>973</v>
      </c>
      <c r="B765" t="s">
        <v>2271</v>
      </c>
      <c r="C765" t="s">
        <v>768</v>
      </c>
      <c r="D765" t="s">
        <v>2272</v>
      </c>
      <c r="E765" t="s">
        <v>74</v>
      </c>
      <c r="F765" t="s">
        <v>3</v>
      </c>
      <c r="G765" t="str">
        <f>HYPERLINK("https://www.facebook.com/toyelviv/posts/pfbid02HyVHmdRrHaKvpJCV4k8sSATEQmB44tvrgpepSrJQ66Qs74jVAzPQ6qaz5ZMHUoNBl?comment_id=1979954809596608")</f>
        <v>https://www.facebook.com/toyelviv/posts/pfbid02HyVHmdRrHaKvpJCV4k8sSATEQmB44tvrgpepSrJQ66Qs74jVAzPQ6qaz5ZMHUoNBl?comment_id=1979954809596608</v>
      </c>
      <c r="H765" t="s">
        <v>28</v>
      </c>
      <c r="I765" t="s">
        <v>2273</v>
      </c>
      <c r="K765" t="str">
        <f>HYPERLINK("https://www.facebook.com/100030057484520")</f>
        <v>https://www.facebook.com/100030057484520</v>
      </c>
      <c r="M765" t="s">
        <v>30</v>
      </c>
      <c r="N765" t="s">
        <v>31</v>
      </c>
      <c r="O765" t="s">
        <v>1559</v>
      </c>
      <c r="P765" t="str">
        <f>HYPERLINK("https://www.facebook.com/320892981422193")</f>
        <v>https://www.facebook.com/320892981422193</v>
      </c>
      <c r="Q765">
        <v>293869</v>
      </c>
      <c r="R765" t="s">
        <v>32</v>
      </c>
      <c r="S765" t="s">
        <v>33</v>
      </c>
      <c r="T765" t="s">
        <v>34</v>
      </c>
      <c r="U765" t="s">
        <v>899</v>
      </c>
      <c r="V765" t="s">
        <v>2274</v>
      </c>
    </row>
    <row r="766" spans="1:20" ht="16">
      <c r="A766" t="s">
        <v>973</v>
      </c>
      <c r="B766" t="s">
        <v>2275</v>
      </c>
      <c r="C766" t="s">
        <v>24</v>
      </c>
      <c r="D766" t="s">
        <v>2276</v>
      </c>
      <c r="E766" t="s">
        <v>45</v>
      </c>
      <c r="F766" t="s">
        <v>3</v>
      </c>
      <c r="G766" t="str">
        <f>HYPERLINK("https://twitter.com/svoboda19254/status/2027509014393983043")</f>
        <v>https://twitter.com/svoboda19254/status/2027509014393983043</v>
      </c>
      <c r="H766" t="s">
        <v>28</v>
      </c>
      <c r="I766" t="s">
        <v>2277</v>
      </c>
      <c r="J766" t="s">
        <v>2278</v>
      </c>
      <c r="K766" t="str">
        <f>HYPERLINK("http://twitter.com/svoboda19254")</f>
        <v>http://twitter.com/svoboda19254</v>
      </c>
      <c r="L766">
        <v>181</v>
      </c>
      <c r="N766" t="s">
        <v>278</v>
      </c>
      <c r="R766" t="s">
        <v>32</v>
      </c>
      <c r="S766" t="s">
        <v>33</v>
      </c>
      <c r="T766" t="s">
        <v>34</v>
      </c>
    </row>
    <row r="767" spans="1:22" ht="16">
      <c r="A767" t="s">
        <v>973</v>
      </c>
      <c r="B767" t="s">
        <v>2279</v>
      </c>
      <c r="C767" t="s">
        <v>80</v>
      </c>
      <c r="D767" t="s">
        <v>2280</v>
      </c>
      <c r="E767" t="s">
        <v>74</v>
      </c>
      <c r="F767" t="s">
        <v>3</v>
      </c>
      <c r="G767" t="str">
        <f>HYPERLINK("https://www.facebook.com/permalink.php?story_fbid=pfbid02rbt51TUb57HR4F6gBd5FwSTuyaUp3gHvM6gsAExHboTPbUq2FdNvTKt3sBpRB8pml&amp;id=100006975138432&amp;comment_id=770539652381484")</f>
        <v>https://www.facebook.com/permalink.php?story_fbid=pfbid02rbt51TUb57HR4F6gBd5FwSTuyaUp3gHvM6gsAExHboTPbUq2FdNvTKt3sBpRB8pml&amp;id=100006975138432&amp;comment_id=770539652381484</v>
      </c>
      <c r="H767" t="s">
        <v>28</v>
      </c>
      <c r="I767" t="s">
        <v>2281</v>
      </c>
      <c r="J767" t="s">
        <v>2282</v>
      </c>
      <c r="K767" t="str">
        <f>HYPERLINK("https://www.facebook.com/100001827619964")</f>
        <v>https://www.facebook.com/100001827619964</v>
      </c>
      <c r="L767">
        <v>298</v>
      </c>
      <c r="M767" t="s">
        <v>40</v>
      </c>
      <c r="N767" t="s">
        <v>31</v>
      </c>
      <c r="O767" t="s">
        <v>1399</v>
      </c>
      <c r="P767" t="str">
        <f>HYPERLINK("https://www.facebook.com/100006975138432")</f>
        <v>https://www.facebook.com/100006975138432</v>
      </c>
      <c r="R767" t="s">
        <v>32</v>
      </c>
      <c r="S767" t="s">
        <v>33</v>
      </c>
      <c r="T767" t="s">
        <v>240</v>
      </c>
      <c r="U767" t="s">
        <v>366</v>
      </c>
      <c r="V767" t="s">
        <v>2283</v>
      </c>
    </row>
    <row r="768" spans="1:20" ht="16">
      <c r="A768" t="s">
        <v>973</v>
      </c>
      <c r="B768" t="s">
        <v>2279</v>
      </c>
      <c r="C768" t="s">
        <v>24</v>
      </c>
      <c r="D768" t="s">
        <v>2007</v>
      </c>
      <c r="E768" t="s">
        <v>45</v>
      </c>
      <c r="F768" t="s">
        <v>281</v>
      </c>
      <c r="G768" t="str">
        <f>HYPERLINK("https://twitter.com/Aleksan06713208/status/2027508579792453682")</f>
        <v>https://twitter.com/Aleksan06713208/status/2027508579792453682</v>
      </c>
      <c r="H768" t="s">
        <v>28</v>
      </c>
      <c r="I768" t="s">
        <v>2284</v>
      </c>
      <c r="J768" t="s">
        <v>2285</v>
      </c>
      <c r="K768" t="str">
        <f>HYPERLINK("http://twitter.com/Aleksan06713208")</f>
        <v>http://twitter.com/Aleksan06713208</v>
      </c>
      <c r="L768">
        <v>135</v>
      </c>
      <c r="M768" t="s">
        <v>40</v>
      </c>
      <c r="N768" t="s">
        <v>278</v>
      </c>
      <c r="R768" t="s">
        <v>32</v>
      </c>
      <c r="S768" t="s">
        <v>33</v>
      </c>
      <c r="T768" t="s">
        <v>34</v>
      </c>
    </row>
    <row r="769" spans="1:22" ht="16">
      <c r="A769" t="s">
        <v>973</v>
      </c>
      <c r="B769" t="s">
        <v>105</v>
      </c>
      <c r="C769" t="s">
        <v>24</v>
      </c>
      <c r="D769" t="s">
        <v>2286</v>
      </c>
      <c r="E769" t="s">
        <v>45</v>
      </c>
      <c r="F769" t="s">
        <v>102</v>
      </c>
      <c r="G769" t="str">
        <f>HYPERLINK("https://www.facebook.com/1481446500169251")</f>
        <v>https://www.facebook.com/1481446500169251</v>
      </c>
      <c r="H769" t="s">
        <v>28</v>
      </c>
      <c r="I769" t="s">
        <v>2287</v>
      </c>
      <c r="K769" t="str">
        <f>HYPERLINK("https://www.facebook.com/100049117451009")</f>
        <v>https://www.facebook.com/100049117451009</v>
      </c>
      <c r="M769" t="s">
        <v>30</v>
      </c>
      <c r="N769" t="s">
        <v>31</v>
      </c>
      <c r="O769" t="s">
        <v>2287</v>
      </c>
      <c r="P769" t="str">
        <f>HYPERLINK("https://www.facebook.com/100049117451009")</f>
        <v>https://www.facebook.com/100049117451009</v>
      </c>
      <c r="R769" t="s">
        <v>32</v>
      </c>
      <c r="S769" t="s">
        <v>33</v>
      </c>
      <c r="T769" t="s">
        <v>34</v>
      </c>
      <c r="U769" t="s">
        <v>58</v>
      </c>
      <c r="V769" t="s">
        <v>58</v>
      </c>
    </row>
    <row r="770" spans="1:22" ht="16">
      <c r="A770" t="s">
        <v>973</v>
      </c>
      <c r="B770" t="s">
        <v>2288</v>
      </c>
      <c r="C770" t="s">
        <v>24</v>
      </c>
      <c r="D770" t="s">
        <v>44</v>
      </c>
      <c r="E770" t="s">
        <v>45</v>
      </c>
      <c r="F770" t="s">
        <v>46</v>
      </c>
      <c r="G770" t="str">
        <f>HYPERLINK("https://www.facebook.com/122346848486002192")</f>
        <v>https://www.facebook.com/122346848486002192</v>
      </c>
      <c r="H770" t="s">
        <v>28</v>
      </c>
      <c r="I770" t="s">
        <v>1966</v>
      </c>
      <c r="K770" t="str">
        <f>HYPERLINK("https://www.facebook.com/61550065765626")</f>
        <v>https://www.facebook.com/61550065765626</v>
      </c>
      <c r="M770" t="s">
        <v>30</v>
      </c>
      <c r="N770" t="s">
        <v>31</v>
      </c>
      <c r="O770" t="s">
        <v>1966</v>
      </c>
      <c r="P770" t="str">
        <f>HYPERLINK("https://www.facebook.com/61550065765626")</f>
        <v>https://www.facebook.com/61550065765626</v>
      </c>
      <c r="R770" t="s">
        <v>32</v>
      </c>
      <c r="S770" t="s">
        <v>33</v>
      </c>
      <c r="T770" t="s">
        <v>86</v>
      </c>
      <c r="U770" t="s">
        <v>1967</v>
      </c>
      <c r="V770" t="s">
        <v>1968</v>
      </c>
    </row>
    <row r="771" spans="1:20" ht="16">
      <c r="A771" t="s">
        <v>973</v>
      </c>
      <c r="B771" t="s">
        <v>2289</v>
      </c>
      <c r="C771" t="s">
        <v>24</v>
      </c>
      <c r="D771" t="s">
        <v>2276</v>
      </c>
      <c r="E771" t="s">
        <v>45</v>
      </c>
      <c r="F771" t="s">
        <v>3</v>
      </c>
      <c r="G771" t="str">
        <f>HYPERLINK("https://twitter.com/rampant7096/status/2027506746667720816")</f>
        <v>https://twitter.com/rampant7096/status/2027506746667720816</v>
      </c>
      <c r="H771" t="s">
        <v>28</v>
      </c>
      <c r="I771" t="s">
        <v>958</v>
      </c>
      <c r="J771" t="s">
        <v>959</v>
      </c>
      <c r="K771" t="str">
        <f>HYPERLINK("http://twitter.com/rampant7096")</f>
        <v>http://twitter.com/rampant7096</v>
      </c>
      <c r="L771">
        <v>15</v>
      </c>
      <c r="M771" t="s">
        <v>40</v>
      </c>
      <c r="N771" t="s">
        <v>278</v>
      </c>
      <c r="R771" t="s">
        <v>32</v>
      </c>
      <c r="S771" t="s">
        <v>33</v>
      </c>
      <c r="T771" t="s">
        <v>34</v>
      </c>
    </row>
    <row r="772" spans="1:20" ht="16">
      <c r="A772" t="s">
        <v>973</v>
      </c>
      <c r="B772" t="s">
        <v>2290</v>
      </c>
      <c r="C772" t="s">
        <v>24</v>
      </c>
      <c r="D772" t="s">
        <v>2007</v>
      </c>
      <c r="E772" t="s">
        <v>45</v>
      </c>
      <c r="F772" t="s">
        <v>281</v>
      </c>
      <c r="G772" t="str">
        <f>HYPERLINK("https://twitter.com/Pavlo_Riznykkk/status/2027505961833759227")</f>
        <v>https://twitter.com/Pavlo_Riznykkk/status/2027505961833759227</v>
      </c>
      <c r="H772" t="s">
        <v>28</v>
      </c>
      <c r="I772" t="s">
        <v>2291</v>
      </c>
      <c r="J772" t="s">
        <v>2292</v>
      </c>
      <c r="K772" t="str">
        <f>HYPERLINK("http://twitter.com/Pavlo_Riznykkk")</f>
        <v>http://twitter.com/Pavlo_Riznykkk</v>
      </c>
      <c r="L772">
        <v>135</v>
      </c>
      <c r="N772" t="s">
        <v>278</v>
      </c>
      <c r="R772" t="s">
        <v>32</v>
      </c>
      <c r="S772" t="s">
        <v>33</v>
      </c>
      <c r="T772" t="s">
        <v>34</v>
      </c>
    </row>
    <row r="773" spans="1:19" ht="16">
      <c r="A773" t="s">
        <v>973</v>
      </c>
      <c r="B773" t="s">
        <v>2290</v>
      </c>
      <c r="C773" t="s">
        <v>24</v>
      </c>
      <c r="D773" t="s">
        <v>49</v>
      </c>
      <c r="E773" t="s">
        <v>26</v>
      </c>
      <c r="F773" t="s">
        <v>342</v>
      </c>
      <c r="G773" t="str">
        <f>HYPERLINK("https://telegram.me/NnewsUkraine24/20029")</f>
        <v>https://telegram.me/NnewsUkraine24/20029</v>
      </c>
      <c r="H773" t="s">
        <v>28</v>
      </c>
      <c r="I773" t="s">
        <v>2293</v>
      </c>
      <c r="J773" t="s">
        <v>2294</v>
      </c>
      <c r="K773" t="str">
        <f>HYPERLINK("https://telegram.me/nnewsukraine24")</f>
        <v>https://telegram.me/nnewsukraine24</v>
      </c>
      <c r="L773">
        <v>169</v>
      </c>
      <c r="M773" t="s">
        <v>345</v>
      </c>
      <c r="N773" t="s">
        <v>346</v>
      </c>
      <c r="O773" t="s">
        <v>2293</v>
      </c>
      <c r="P773" t="str">
        <f>HYPERLINK("https://telegram.me/nnewsukraine24")</f>
        <v>https://telegram.me/nnewsukraine24</v>
      </c>
      <c r="Q773">
        <v>169</v>
      </c>
      <c r="R773" t="s">
        <v>347</v>
      </c>
      <c r="S773" t="s">
        <v>33</v>
      </c>
    </row>
    <row r="774" spans="1:21" ht="16">
      <c r="A774" t="s">
        <v>973</v>
      </c>
      <c r="B774" t="s">
        <v>967</v>
      </c>
      <c r="C774" t="s">
        <v>24</v>
      </c>
      <c r="D774" t="s">
        <v>49</v>
      </c>
      <c r="E774" t="s">
        <v>45</v>
      </c>
      <c r="F774" t="s">
        <v>46</v>
      </c>
      <c r="G774" t="str">
        <f>HYPERLINK("https://www.facebook.com/877347931969978")</f>
        <v>https://www.facebook.com/877347931969978</v>
      </c>
      <c r="H774" t="s">
        <v>28</v>
      </c>
      <c r="I774" t="s">
        <v>876</v>
      </c>
      <c r="K774" t="str">
        <f>HYPERLINK("https://www.facebook.com/100090843379637")</f>
        <v>https://www.facebook.com/100090843379637</v>
      </c>
      <c r="M774" t="s">
        <v>40</v>
      </c>
      <c r="N774" t="s">
        <v>31</v>
      </c>
      <c r="O774" t="s">
        <v>876</v>
      </c>
      <c r="P774" t="str">
        <f>HYPERLINK("https://www.facebook.com/100090843379637")</f>
        <v>https://www.facebook.com/100090843379637</v>
      </c>
      <c r="R774" t="s">
        <v>32</v>
      </c>
      <c r="S774" t="s">
        <v>33</v>
      </c>
      <c r="T774" t="s">
        <v>34</v>
      </c>
      <c r="U774" t="s">
        <v>309</v>
      </c>
    </row>
    <row r="775" spans="1:22" ht="16">
      <c r="A775" t="s">
        <v>973</v>
      </c>
      <c r="B775" t="s">
        <v>2295</v>
      </c>
      <c r="C775" t="s">
        <v>768</v>
      </c>
      <c r="D775" t="s">
        <v>2296</v>
      </c>
      <c r="E775" t="s">
        <v>74</v>
      </c>
      <c r="F775" t="s">
        <v>3</v>
      </c>
      <c r="G775" t="str">
        <f>HYPERLINK("https://www.facebook.com/toyelviv/posts/pfbid02HyVHmdRrHaKvpJCV4k8sSATEQmB44tvrgpepSrJQ66Qs74jVAzPQ6qaz5ZMHUoNBl?comment_id=1246906347041620")</f>
        <v>https://www.facebook.com/toyelviv/posts/pfbid02HyVHmdRrHaKvpJCV4k8sSATEQmB44tvrgpepSrJQ66Qs74jVAzPQ6qaz5ZMHUoNBl?comment_id=1246906347041620</v>
      </c>
      <c r="H775" t="s">
        <v>28</v>
      </c>
      <c r="I775" t="s">
        <v>2297</v>
      </c>
      <c r="K775" t="str">
        <f>HYPERLINK("https://www.facebook.com/100017426263565")</f>
        <v>https://www.facebook.com/100017426263565</v>
      </c>
      <c r="M775" t="s">
        <v>30</v>
      </c>
      <c r="N775" t="s">
        <v>31</v>
      </c>
      <c r="O775" t="s">
        <v>1559</v>
      </c>
      <c r="P775" t="str">
        <f>HYPERLINK("https://www.facebook.com/320892981422193")</f>
        <v>https://www.facebook.com/320892981422193</v>
      </c>
      <c r="Q775">
        <v>293869</v>
      </c>
      <c r="R775" t="s">
        <v>32</v>
      </c>
      <c r="S775" t="s">
        <v>33</v>
      </c>
      <c r="T775" t="s">
        <v>34</v>
      </c>
      <c r="U775" t="s">
        <v>41</v>
      </c>
      <c r="V775" t="s">
        <v>42</v>
      </c>
    </row>
    <row r="776" spans="1:22" ht="16">
      <c r="A776" t="s">
        <v>973</v>
      </c>
      <c r="B776" t="s">
        <v>970</v>
      </c>
      <c r="C776" t="s">
        <v>80</v>
      </c>
      <c r="D776" t="s">
        <v>2298</v>
      </c>
      <c r="E776" t="s">
        <v>74</v>
      </c>
      <c r="F776" t="s">
        <v>3</v>
      </c>
      <c r="G776" t="str">
        <f>HYPERLINK("https://www.facebook.com/permalink.php?story_fbid=pfbid02rbt51TUb57HR4F6gBd5FwSTuyaUp3gHvM6gsAExHboTPbUq2FdNvTKt3sBpRB8pml&amp;id=100006975138432&amp;comment_id=978297395372761&amp;reply_comment_id=2188293108643435")</f>
        <v>https://www.facebook.com/permalink.php?story_fbid=pfbid02rbt51TUb57HR4F6gBd5FwSTuyaUp3gHvM6gsAExHboTPbUq2FdNvTKt3sBpRB8pml&amp;id=100006975138432&amp;comment_id=978297395372761&amp;reply_comment_id=2188293108643435</v>
      </c>
      <c r="H776" t="s">
        <v>28</v>
      </c>
      <c r="I776" t="s">
        <v>2299</v>
      </c>
      <c r="K776" t="str">
        <f>HYPERLINK("https://www.facebook.com/61556525810275")</f>
        <v>https://www.facebook.com/61556525810275</v>
      </c>
      <c r="M776" t="s">
        <v>30</v>
      </c>
      <c r="N776" t="s">
        <v>31</v>
      </c>
      <c r="O776" t="s">
        <v>1399</v>
      </c>
      <c r="P776" t="str">
        <f>HYPERLINK("https://www.facebook.com/100006975138432")</f>
        <v>https://www.facebook.com/100006975138432</v>
      </c>
      <c r="R776" t="s">
        <v>32</v>
      </c>
      <c r="S776" t="s">
        <v>1776</v>
      </c>
      <c r="T776" t="s">
        <v>34</v>
      </c>
      <c r="U776" t="s">
        <v>304</v>
      </c>
      <c r="V776" t="s">
        <v>519</v>
      </c>
    </row>
    <row r="777" spans="1:22" ht="16">
      <c r="A777" t="s">
        <v>2300</v>
      </c>
      <c r="B777" t="s">
        <v>974</v>
      </c>
      <c r="C777" t="s">
        <v>80</v>
      </c>
      <c r="D777" t="s">
        <v>2301</v>
      </c>
      <c r="E777" t="s">
        <v>74</v>
      </c>
      <c r="F777" t="s">
        <v>3</v>
      </c>
      <c r="G777" t="str">
        <f>HYPERLINK("https://www.facebook.com/permalink.php?story_fbid=pfbid02rbt51TUb57HR4F6gBd5FwSTuyaUp3gHvM6gsAExHboTPbUq2FdNvTKt3sBpRB8pml&amp;id=100006975138432&amp;comment_id=1527019481732194")</f>
        <v>https://www.facebook.com/permalink.php?story_fbid=pfbid02rbt51TUb57HR4F6gBd5FwSTuyaUp3gHvM6gsAExHboTPbUq2FdNvTKt3sBpRB8pml&amp;id=100006975138432&amp;comment_id=1527019481732194</v>
      </c>
      <c r="H777" t="s">
        <v>28</v>
      </c>
      <c r="I777" t="s">
        <v>2299</v>
      </c>
      <c r="K777" t="str">
        <f>HYPERLINK("https://www.facebook.com/61556525810275")</f>
        <v>https://www.facebook.com/61556525810275</v>
      </c>
      <c r="M777" t="s">
        <v>30</v>
      </c>
      <c r="N777" t="s">
        <v>31</v>
      </c>
      <c r="O777" t="s">
        <v>1399</v>
      </c>
      <c r="P777" t="str">
        <f>HYPERLINK("https://www.facebook.com/100006975138432")</f>
        <v>https://www.facebook.com/100006975138432</v>
      </c>
      <c r="R777" t="s">
        <v>32</v>
      </c>
      <c r="S777" t="s">
        <v>188</v>
      </c>
      <c r="T777" t="s">
        <v>34</v>
      </c>
      <c r="U777" t="s">
        <v>304</v>
      </c>
      <c r="V777" t="s">
        <v>519</v>
      </c>
    </row>
    <row r="778" spans="1:22" ht="16">
      <c r="A778" t="s">
        <v>2300</v>
      </c>
      <c r="B778" t="s">
        <v>974</v>
      </c>
      <c r="C778" t="s">
        <v>24</v>
      </c>
      <c r="D778" t="s">
        <v>2007</v>
      </c>
      <c r="E778" t="s">
        <v>45</v>
      </c>
      <c r="F778" t="s">
        <v>281</v>
      </c>
      <c r="G778" t="str">
        <f>HYPERLINK("https://twitter.com/meshtyjoj/status/2027503833346126282")</f>
        <v>https://twitter.com/meshtyjoj/status/2027503833346126282</v>
      </c>
      <c r="H778" t="s">
        <v>28</v>
      </c>
      <c r="I778" t="s">
        <v>2302</v>
      </c>
      <c r="J778" t="s">
        <v>2303</v>
      </c>
      <c r="K778" t="str">
        <f>HYPERLINK("http://twitter.com/meshtyjoj")</f>
        <v>http://twitter.com/meshtyjoj</v>
      </c>
      <c r="L778">
        <v>994</v>
      </c>
      <c r="N778" t="s">
        <v>278</v>
      </c>
      <c r="R778" t="s">
        <v>32</v>
      </c>
      <c r="S778" t="s">
        <v>33</v>
      </c>
      <c r="T778" t="s">
        <v>34</v>
      </c>
      <c r="U778" t="s">
        <v>41</v>
      </c>
      <c r="V778" t="s">
        <v>42</v>
      </c>
    </row>
    <row r="779" spans="1:20" ht="16">
      <c r="A779" t="s">
        <v>2300</v>
      </c>
      <c r="B779" t="s">
        <v>2304</v>
      </c>
      <c r="C779" t="s">
        <v>24</v>
      </c>
      <c r="D779" t="s">
        <v>2305</v>
      </c>
      <c r="E779" t="s">
        <v>45</v>
      </c>
      <c r="F779" t="s">
        <v>3</v>
      </c>
      <c r="G779" t="str">
        <f>HYPERLINK("https://twitter.com/Gr095477/status/2027503560439582977")</f>
        <v>https://twitter.com/Gr095477/status/2027503560439582977</v>
      </c>
      <c r="H779" t="s">
        <v>28</v>
      </c>
      <c r="I779" t="s">
        <v>2306</v>
      </c>
      <c r="J779" t="s">
        <v>2307</v>
      </c>
      <c r="K779" t="str">
        <f>HYPERLINK("http://twitter.com/Gr095477")</f>
        <v>http://twitter.com/Gr095477</v>
      </c>
      <c r="L779">
        <v>10</v>
      </c>
      <c r="M779" t="s">
        <v>40</v>
      </c>
      <c r="N779" t="s">
        <v>278</v>
      </c>
      <c r="R779" t="s">
        <v>32</v>
      </c>
      <c r="S779" t="s">
        <v>33</v>
      </c>
      <c r="T779" t="s">
        <v>34</v>
      </c>
    </row>
    <row r="780" spans="1:22" ht="16">
      <c r="A780" t="s">
        <v>2300</v>
      </c>
      <c r="B780" t="s">
        <v>2308</v>
      </c>
      <c r="C780" t="s">
        <v>80</v>
      </c>
      <c r="D780" t="s">
        <v>2309</v>
      </c>
      <c r="E780" t="s">
        <v>74</v>
      </c>
      <c r="F780" t="s">
        <v>3</v>
      </c>
      <c r="G780" t="str">
        <f>HYPERLINK("https://www.facebook.com/permalink.php?story_fbid=pfbid02rbt51TUb57HR4F6gBd5FwSTuyaUp3gHvM6gsAExHboTPbUq2FdNvTKt3sBpRB8pml&amp;id=100006975138432&amp;comment_id=1459774322338189&amp;reply_comment_id=1327455122750058")</f>
        <v>https://www.facebook.com/permalink.php?story_fbid=pfbid02rbt51TUb57HR4F6gBd5FwSTuyaUp3gHvM6gsAExHboTPbUq2FdNvTKt3sBpRB8pml&amp;id=100006975138432&amp;comment_id=1459774322338189&amp;reply_comment_id=1327455122750058</v>
      </c>
      <c r="H780" t="s">
        <v>28</v>
      </c>
      <c r="I780" t="s">
        <v>2310</v>
      </c>
      <c r="J780" t="s">
        <v>2311</v>
      </c>
      <c r="K780" t="str">
        <f>HYPERLINK("https://www.facebook.com/100055768967989")</f>
        <v>https://www.facebook.com/100055768967989</v>
      </c>
      <c r="M780" t="s">
        <v>40</v>
      </c>
      <c r="N780" t="s">
        <v>31</v>
      </c>
      <c r="O780" t="s">
        <v>1399</v>
      </c>
      <c r="P780" t="str">
        <f>HYPERLINK("https://www.facebook.com/100006975138432")</f>
        <v>https://www.facebook.com/100006975138432</v>
      </c>
      <c r="R780" t="s">
        <v>32</v>
      </c>
      <c r="S780" t="s">
        <v>85</v>
      </c>
      <c r="T780" t="s">
        <v>62</v>
      </c>
      <c r="U780" t="s">
        <v>317</v>
      </c>
      <c r="V780" t="s">
        <v>2312</v>
      </c>
    </row>
    <row r="781" spans="1:20" ht="16">
      <c r="A781" t="s">
        <v>2300</v>
      </c>
      <c r="B781" t="s">
        <v>2313</v>
      </c>
      <c r="C781" t="s">
        <v>24</v>
      </c>
      <c r="D781" t="s">
        <v>2007</v>
      </c>
      <c r="E781" t="s">
        <v>45</v>
      </c>
      <c r="F781" t="s">
        <v>281</v>
      </c>
      <c r="G781" t="str">
        <f>HYPERLINK("https://twitter.com/AnastasiaSvec16/status/2027502060598423999")</f>
        <v>https://twitter.com/AnastasiaSvec16/status/2027502060598423999</v>
      </c>
      <c r="H781" t="s">
        <v>28</v>
      </c>
      <c r="I781" t="s">
        <v>994</v>
      </c>
      <c r="J781" t="s">
        <v>995</v>
      </c>
      <c r="K781" t="str">
        <f>HYPERLINK("http://twitter.com/AnastasiaSvec16")</f>
        <v>http://twitter.com/AnastasiaSvec16</v>
      </c>
      <c r="L781">
        <v>42</v>
      </c>
      <c r="M781" t="s">
        <v>30</v>
      </c>
      <c r="N781" t="s">
        <v>278</v>
      </c>
      <c r="R781" t="s">
        <v>32</v>
      </c>
      <c r="S781" t="s">
        <v>33</v>
      </c>
      <c r="T781" t="s">
        <v>34</v>
      </c>
    </row>
    <row r="782" spans="1:20" ht="16">
      <c r="A782" t="s">
        <v>2300</v>
      </c>
      <c r="B782" t="s">
        <v>2314</v>
      </c>
      <c r="C782" t="s">
        <v>24</v>
      </c>
      <c r="D782" t="s">
        <v>2007</v>
      </c>
      <c r="E782" t="s">
        <v>45</v>
      </c>
      <c r="F782" t="s">
        <v>281</v>
      </c>
      <c r="G782" t="str">
        <f>HYPERLINK("https://twitter.com/foerbars/status/2027501543348416658")</f>
        <v>https://twitter.com/foerbars/status/2027501543348416658</v>
      </c>
      <c r="H782" t="s">
        <v>28</v>
      </c>
      <c r="I782" t="s">
        <v>2315</v>
      </c>
      <c r="J782" t="s">
        <v>2315</v>
      </c>
      <c r="K782" t="str">
        <f>HYPERLINK("http://twitter.com/foerbars")</f>
        <v>http://twitter.com/foerbars</v>
      </c>
      <c r="L782">
        <v>491</v>
      </c>
      <c r="N782" t="s">
        <v>278</v>
      </c>
      <c r="R782" t="s">
        <v>32</v>
      </c>
      <c r="S782" t="s">
        <v>33</v>
      </c>
      <c r="T782" t="s">
        <v>199</v>
      </c>
    </row>
    <row r="783" spans="1:22" ht="16">
      <c r="A783" t="s">
        <v>2300</v>
      </c>
      <c r="B783" t="s">
        <v>2316</v>
      </c>
      <c r="C783" t="s">
        <v>80</v>
      </c>
      <c r="D783" t="s">
        <v>2317</v>
      </c>
      <c r="E783" t="s">
        <v>74</v>
      </c>
      <c r="F783" t="s">
        <v>3</v>
      </c>
      <c r="G783" t="str">
        <f>HYPERLINK("https://www.facebook.com/westukrnews/posts/pfbid05KpJzZfAmc7DG6HMNPojmy3FDtYQBjx33JCcksAdDUDGcWNSDnn66BSqDiowXeWol?comment_id=882680221254185")</f>
        <v>https://www.facebook.com/westukrnews/posts/pfbid05KpJzZfAmc7DG6HMNPojmy3FDtYQBjx33JCcksAdDUDGcWNSDnn66BSqDiowXeWol?comment_id=882680221254185</v>
      </c>
      <c r="H783" t="s">
        <v>28</v>
      </c>
      <c r="I783" t="s">
        <v>2318</v>
      </c>
      <c r="K783" t="str">
        <f>HYPERLINK("https://www.facebook.com/100014332278143")</f>
        <v>https://www.facebook.com/100014332278143</v>
      </c>
      <c r="M783" t="s">
        <v>30</v>
      </c>
      <c r="N783" t="s">
        <v>31</v>
      </c>
      <c r="O783" t="s">
        <v>813</v>
      </c>
      <c r="P783" t="str">
        <f>HYPERLINK("https://www.facebook.com/264234810584424")</f>
        <v>https://www.facebook.com/264234810584424</v>
      </c>
      <c r="Q783">
        <v>559985</v>
      </c>
      <c r="R783" t="s">
        <v>32</v>
      </c>
      <c r="S783" t="s">
        <v>33</v>
      </c>
      <c r="T783" t="s">
        <v>240</v>
      </c>
      <c r="U783" t="s">
        <v>572</v>
      </c>
      <c r="V783" t="s">
        <v>2319</v>
      </c>
    </row>
    <row r="784" spans="1:19" ht="16">
      <c r="A784" t="s">
        <v>2300</v>
      </c>
      <c r="B784" t="s">
        <v>2316</v>
      </c>
      <c r="C784" t="s">
        <v>24</v>
      </c>
      <c r="D784" t="s">
        <v>49</v>
      </c>
      <c r="E784" t="s">
        <v>26</v>
      </c>
      <c r="F784" t="s">
        <v>342</v>
      </c>
      <c r="G784" t="str">
        <f>HYPERLINK("https://telegram.me/sarnysprotiv/14203")</f>
        <v>https://telegram.me/sarnysprotiv/14203</v>
      </c>
      <c r="H784" t="s">
        <v>28</v>
      </c>
      <c r="I784" t="s">
        <v>2320</v>
      </c>
      <c r="J784" t="s">
        <v>2321</v>
      </c>
      <c r="K784" t="str">
        <f>HYPERLINK("https://telegram.me/sarnysprotiv")</f>
        <v>https://telegram.me/sarnysprotiv</v>
      </c>
      <c r="L784">
        <v>352</v>
      </c>
      <c r="M784" t="s">
        <v>345</v>
      </c>
      <c r="N784" t="s">
        <v>346</v>
      </c>
      <c r="O784" t="s">
        <v>2320</v>
      </c>
      <c r="P784" t="str">
        <f>HYPERLINK("https://telegram.me/sarnysprotiv")</f>
        <v>https://telegram.me/sarnysprotiv</v>
      </c>
      <c r="Q784">
        <v>352</v>
      </c>
      <c r="R784" t="s">
        <v>347</v>
      </c>
      <c r="S784" t="s">
        <v>33</v>
      </c>
    </row>
    <row r="785" spans="1:22" ht="16">
      <c r="A785" t="s">
        <v>2300</v>
      </c>
      <c r="B785" t="s">
        <v>978</v>
      </c>
      <c r="C785" t="s">
        <v>24</v>
      </c>
      <c r="D785" t="s">
        <v>254</v>
      </c>
      <c r="E785" t="s">
        <v>45</v>
      </c>
      <c r="F785" t="s">
        <v>46</v>
      </c>
      <c r="G785" t="str">
        <f>HYPERLINK("https://www.facebook.com/2777592935922035")</f>
        <v>https://www.facebook.com/2777592935922035</v>
      </c>
      <c r="H785" t="s">
        <v>28</v>
      </c>
      <c r="I785" t="s">
        <v>2322</v>
      </c>
      <c r="K785" t="str">
        <f>HYPERLINK("https://www.facebook.com/100010140667267")</f>
        <v>https://www.facebook.com/100010140667267</v>
      </c>
      <c r="M785" t="s">
        <v>30</v>
      </c>
      <c r="N785" t="s">
        <v>31</v>
      </c>
      <c r="O785" t="s">
        <v>2322</v>
      </c>
      <c r="P785" t="str">
        <f>HYPERLINK("https://www.facebook.com/100010140667267")</f>
        <v>https://www.facebook.com/100010140667267</v>
      </c>
      <c r="R785" t="s">
        <v>32</v>
      </c>
      <c r="S785" t="s">
        <v>33</v>
      </c>
      <c r="T785" t="s">
        <v>34</v>
      </c>
      <c r="U785" t="s">
        <v>384</v>
      </c>
      <c r="V785" t="s">
        <v>500</v>
      </c>
    </row>
    <row r="786" spans="1:20" ht="16">
      <c r="A786" t="s">
        <v>2300</v>
      </c>
      <c r="B786" t="s">
        <v>981</v>
      </c>
      <c r="C786" t="s">
        <v>24</v>
      </c>
      <c r="D786" t="s">
        <v>2007</v>
      </c>
      <c r="E786" t="s">
        <v>45</v>
      </c>
      <c r="F786" t="s">
        <v>281</v>
      </c>
      <c r="G786" t="str">
        <f>HYPERLINK("https://twitter.com/AntonKizsl3244/status/2027500490439692646")</f>
        <v>https://twitter.com/AntonKizsl3244/status/2027500490439692646</v>
      </c>
      <c r="H786" t="s">
        <v>28</v>
      </c>
      <c r="I786" t="s">
        <v>2323</v>
      </c>
      <c r="J786" t="s">
        <v>2324</v>
      </c>
      <c r="K786" t="str">
        <f>HYPERLINK("http://twitter.com/AntonKizsl3244")</f>
        <v>http://twitter.com/AntonKizsl3244</v>
      </c>
      <c r="L786">
        <v>60</v>
      </c>
      <c r="M786" t="s">
        <v>40</v>
      </c>
      <c r="N786" t="s">
        <v>278</v>
      </c>
      <c r="R786" t="s">
        <v>32</v>
      </c>
      <c r="S786" t="s">
        <v>33</v>
      </c>
      <c r="T786" t="s">
        <v>34</v>
      </c>
    </row>
    <row r="787" spans="1:20" ht="16">
      <c r="A787" t="s">
        <v>2300</v>
      </c>
      <c r="B787" t="s">
        <v>2325</v>
      </c>
      <c r="C787" t="s">
        <v>24</v>
      </c>
      <c r="D787" t="s">
        <v>2007</v>
      </c>
      <c r="E787" t="s">
        <v>45</v>
      </c>
      <c r="F787" t="s">
        <v>281</v>
      </c>
      <c r="G787" t="str">
        <f>HYPERLINK("https://twitter.com/Matilda31994897/status/2027499869456273807")</f>
        <v>https://twitter.com/Matilda31994897/status/2027499869456273807</v>
      </c>
      <c r="H787" t="s">
        <v>28</v>
      </c>
      <c r="I787" t="s">
        <v>2326</v>
      </c>
      <c r="J787" t="s">
        <v>2327</v>
      </c>
      <c r="K787" t="str">
        <f>HYPERLINK("http://twitter.com/Matilda31994897")</f>
        <v>http://twitter.com/Matilda31994897</v>
      </c>
      <c r="L787">
        <v>89</v>
      </c>
      <c r="M787" t="s">
        <v>30</v>
      </c>
      <c r="N787" t="s">
        <v>278</v>
      </c>
      <c r="R787" t="s">
        <v>32</v>
      </c>
      <c r="S787" t="s">
        <v>33</v>
      </c>
      <c r="T787" t="s">
        <v>34</v>
      </c>
    </row>
    <row r="788" spans="1:20" ht="16">
      <c r="A788" t="s">
        <v>2300</v>
      </c>
      <c r="B788" t="s">
        <v>2328</v>
      </c>
      <c r="C788" t="s">
        <v>24</v>
      </c>
      <c r="D788" t="s">
        <v>2007</v>
      </c>
      <c r="E788" t="s">
        <v>45</v>
      </c>
      <c r="F788" t="s">
        <v>281</v>
      </c>
      <c r="G788" t="str">
        <f>HYPERLINK("https://twitter.com/Dynatron_Power/status/2027499562311586274")</f>
        <v>https://twitter.com/Dynatron_Power/status/2027499562311586274</v>
      </c>
      <c r="H788" t="s">
        <v>28</v>
      </c>
      <c r="I788" t="s">
        <v>2329</v>
      </c>
      <c r="J788" t="s">
        <v>2330</v>
      </c>
      <c r="K788" t="str">
        <f>HYPERLINK("http://twitter.com/Dynatron_Power")</f>
        <v>http://twitter.com/Dynatron_Power</v>
      </c>
      <c r="L788">
        <v>1648</v>
      </c>
      <c r="N788" t="s">
        <v>278</v>
      </c>
      <c r="R788" t="s">
        <v>32</v>
      </c>
      <c r="S788" t="s">
        <v>33</v>
      </c>
      <c r="T788" t="s">
        <v>34</v>
      </c>
    </row>
    <row r="789" spans="1:22" ht="16">
      <c r="A789" t="s">
        <v>2300</v>
      </c>
      <c r="B789" t="s">
        <v>2331</v>
      </c>
      <c r="C789" t="s">
        <v>768</v>
      </c>
      <c r="D789" t="s">
        <v>2332</v>
      </c>
      <c r="E789" t="s">
        <v>74</v>
      </c>
      <c r="F789" t="s">
        <v>3</v>
      </c>
      <c r="G789" t="str">
        <f>HYPERLINK("https://www.facebook.com/toyelviv/posts/pfbid02HyVHmdRrHaKvpJCV4k8sSATEQmB44tvrgpepSrJQ66Qs74jVAzPQ6qaz5ZMHUoNBl?comment_id=3089964167877967")</f>
        <v>https://www.facebook.com/toyelviv/posts/pfbid02HyVHmdRrHaKvpJCV4k8sSATEQmB44tvrgpepSrJQ66Qs74jVAzPQ6qaz5ZMHUoNBl?comment_id=3089964167877967</v>
      </c>
      <c r="H789" t="s">
        <v>28</v>
      </c>
      <c r="I789" t="s">
        <v>2322</v>
      </c>
      <c r="K789" t="str">
        <f>HYPERLINK("https://www.facebook.com/100010140667267")</f>
        <v>https://www.facebook.com/100010140667267</v>
      </c>
      <c r="M789" t="s">
        <v>30</v>
      </c>
      <c r="N789" t="s">
        <v>31</v>
      </c>
      <c r="O789" t="s">
        <v>1559</v>
      </c>
      <c r="P789" t="str">
        <f>HYPERLINK("https://www.facebook.com/320892981422193")</f>
        <v>https://www.facebook.com/320892981422193</v>
      </c>
      <c r="Q789">
        <v>293869</v>
      </c>
      <c r="R789" t="s">
        <v>32</v>
      </c>
      <c r="S789" t="s">
        <v>85</v>
      </c>
      <c r="T789" t="s">
        <v>34</v>
      </c>
      <c r="U789" t="s">
        <v>384</v>
      </c>
      <c r="V789" t="s">
        <v>500</v>
      </c>
    </row>
    <row r="790" spans="1:22" ht="16">
      <c r="A790" t="s">
        <v>2300</v>
      </c>
      <c r="B790" t="s">
        <v>2333</v>
      </c>
      <c r="C790" t="s">
        <v>24</v>
      </c>
      <c r="D790" t="s">
        <v>2334</v>
      </c>
      <c r="E790" t="s">
        <v>26</v>
      </c>
      <c r="F790" t="s">
        <v>102</v>
      </c>
      <c r="G790" t="str">
        <f>HYPERLINK("https://www.facebook.com/3389868687846001")</f>
        <v>https://www.facebook.com/3389868687846001</v>
      </c>
      <c r="H790" t="s">
        <v>28</v>
      </c>
      <c r="I790" t="s">
        <v>2335</v>
      </c>
      <c r="K790" t="str">
        <f>HYPERLINK("https://www.facebook.com/100004687091620")</f>
        <v>https://www.facebook.com/100004687091620</v>
      </c>
      <c r="M790" t="s">
        <v>30</v>
      </c>
      <c r="N790" t="s">
        <v>31</v>
      </c>
      <c r="O790" t="s">
        <v>2335</v>
      </c>
      <c r="P790" t="str">
        <f>HYPERLINK("https://www.facebook.com/100004687091620")</f>
        <v>https://www.facebook.com/100004687091620</v>
      </c>
      <c r="R790" t="s">
        <v>32</v>
      </c>
      <c r="S790" t="s">
        <v>33</v>
      </c>
      <c r="T790" t="s">
        <v>34</v>
      </c>
      <c r="U790" t="s">
        <v>173</v>
      </c>
      <c r="V790" t="s">
        <v>2336</v>
      </c>
    </row>
    <row r="791" spans="1:22" ht="16">
      <c r="A791" t="s">
        <v>2300</v>
      </c>
      <c r="B791" t="s">
        <v>2333</v>
      </c>
      <c r="C791" t="s">
        <v>80</v>
      </c>
      <c r="D791" t="s">
        <v>2337</v>
      </c>
      <c r="E791" t="s">
        <v>74</v>
      </c>
      <c r="F791" t="s">
        <v>3</v>
      </c>
      <c r="G791" t="str">
        <f>HYPERLINK("https://www.facebook.com/permalink.php?story_fbid=pfbid02rbt51TUb57HR4F6gBd5FwSTuyaUp3gHvM6gsAExHboTPbUq2FdNvTKt3sBpRB8pml&amp;id=100006975138432&amp;comment_id=2352445638594780")</f>
        <v>https://www.facebook.com/permalink.php?story_fbid=pfbid02rbt51TUb57HR4F6gBd5FwSTuyaUp3gHvM6gsAExHboTPbUq2FdNvTKt3sBpRB8pml&amp;id=100006975138432&amp;comment_id=2352445638594780</v>
      </c>
      <c r="H791" t="s">
        <v>28</v>
      </c>
      <c r="I791" t="s">
        <v>2338</v>
      </c>
      <c r="K791" t="str">
        <f>HYPERLINK("https://www.facebook.com/100094079091712")</f>
        <v>https://www.facebook.com/100094079091712</v>
      </c>
      <c r="M791" t="s">
        <v>40</v>
      </c>
      <c r="N791" t="s">
        <v>31</v>
      </c>
      <c r="O791" t="s">
        <v>1399</v>
      </c>
      <c r="P791" t="str">
        <f>HYPERLINK("https://www.facebook.com/100006975138432")</f>
        <v>https://www.facebook.com/100006975138432</v>
      </c>
      <c r="R791" t="s">
        <v>32</v>
      </c>
      <c r="S791" t="s">
        <v>85</v>
      </c>
      <c r="T791" t="s">
        <v>34</v>
      </c>
      <c r="U791" t="s">
        <v>58</v>
      </c>
      <c r="V791" t="s">
        <v>58</v>
      </c>
    </row>
    <row r="792" spans="1:22" ht="16">
      <c r="A792" t="s">
        <v>2300</v>
      </c>
      <c r="B792" t="s">
        <v>2339</v>
      </c>
      <c r="C792" t="s">
        <v>80</v>
      </c>
      <c r="D792" t="s">
        <v>2340</v>
      </c>
      <c r="E792" t="s">
        <v>74</v>
      </c>
      <c r="F792" t="s">
        <v>3</v>
      </c>
      <c r="G792" t="str">
        <f>HYPERLINK("https://www.facebook.com/westukrnews/posts/pfbid05KpJzZfAmc7DG6HMNPojmy3FDtYQBjx33JCcksAdDUDGcWNSDnn66BSqDiowXeWol?comment_id=1280761730580474")</f>
        <v>https://www.facebook.com/westukrnews/posts/pfbid05KpJzZfAmc7DG6HMNPojmy3FDtYQBjx33JCcksAdDUDGcWNSDnn66BSqDiowXeWol?comment_id=1280761730580474</v>
      </c>
      <c r="H792" t="s">
        <v>28</v>
      </c>
      <c r="I792" t="s">
        <v>2341</v>
      </c>
      <c r="K792" t="str">
        <f>HYPERLINK("https://www.facebook.com/100026969240109")</f>
        <v>https://www.facebook.com/100026969240109</v>
      </c>
      <c r="L792">
        <v>9</v>
      </c>
      <c r="M792" t="s">
        <v>30</v>
      </c>
      <c r="N792" t="s">
        <v>31</v>
      </c>
      <c r="O792" t="s">
        <v>813</v>
      </c>
      <c r="P792" t="str">
        <f>HYPERLINK("https://www.facebook.com/264234810584424")</f>
        <v>https://www.facebook.com/264234810584424</v>
      </c>
      <c r="Q792">
        <v>559985</v>
      </c>
      <c r="R792" t="s">
        <v>32</v>
      </c>
      <c r="S792" t="s">
        <v>33</v>
      </c>
      <c r="T792" t="s">
        <v>34</v>
      </c>
      <c r="U792" t="s">
        <v>487</v>
      </c>
      <c r="V792" t="s">
        <v>814</v>
      </c>
    </row>
    <row r="793" spans="1:20" ht="16">
      <c r="A793" t="s">
        <v>2300</v>
      </c>
      <c r="B793" t="s">
        <v>2342</v>
      </c>
      <c r="C793" t="s">
        <v>24</v>
      </c>
      <c r="D793" t="s">
        <v>2276</v>
      </c>
      <c r="E793" t="s">
        <v>45</v>
      </c>
      <c r="F793" t="s">
        <v>3</v>
      </c>
      <c r="G793" t="str">
        <f>HYPERLINK("https://twitter.com/lesya1533/status/2027496469020721185")</f>
        <v>https://twitter.com/lesya1533/status/2027496469020721185</v>
      </c>
      <c r="H793" t="s">
        <v>28</v>
      </c>
      <c r="I793" t="s">
        <v>2264</v>
      </c>
      <c r="J793" t="s">
        <v>2265</v>
      </c>
      <c r="K793" t="str">
        <f>HYPERLINK("http://twitter.com/lesya1533")</f>
        <v>http://twitter.com/lesya1533</v>
      </c>
      <c r="L793">
        <v>63</v>
      </c>
      <c r="M793" t="s">
        <v>30</v>
      </c>
      <c r="N793" t="s">
        <v>278</v>
      </c>
      <c r="R793" t="s">
        <v>32</v>
      </c>
      <c r="S793" t="s">
        <v>33</v>
      </c>
      <c r="T793" t="s">
        <v>34</v>
      </c>
    </row>
    <row r="794" spans="1:22" ht="16">
      <c r="A794" t="s">
        <v>2300</v>
      </c>
      <c r="B794" t="s">
        <v>2343</v>
      </c>
      <c r="C794" t="s">
        <v>24</v>
      </c>
      <c r="D794" t="s">
        <v>49</v>
      </c>
      <c r="E794" t="s">
        <v>45</v>
      </c>
      <c r="F794" t="s">
        <v>46</v>
      </c>
      <c r="G794" t="str">
        <f>HYPERLINK("https://www.facebook.com/26314047871583054")</f>
        <v>https://www.facebook.com/26314047871583054</v>
      </c>
      <c r="H794" t="s">
        <v>28</v>
      </c>
      <c r="I794" t="s">
        <v>2344</v>
      </c>
      <c r="J794" t="s">
        <v>2345</v>
      </c>
      <c r="K794" t="str">
        <f>HYPERLINK("https://www.facebook.com/100002135980981")</f>
        <v>https://www.facebook.com/100002135980981</v>
      </c>
      <c r="M794" t="s">
        <v>40</v>
      </c>
      <c r="N794" t="s">
        <v>31</v>
      </c>
      <c r="O794" t="s">
        <v>2344</v>
      </c>
      <c r="P794" t="str">
        <f>HYPERLINK("https://www.facebook.com/100002135980981")</f>
        <v>https://www.facebook.com/100002135980981</v>
      </c>
      <c r="R794" t="s">
        <v>32</v>
      </c>
      <c r="S794" t="s">
        <v>33</v>
      </c>
      <c r="T794" t="s">
        <v>1032</v>
      </c>
      <c r="U794" t="s">
        <v>2346</v>
      </c>
      <c r="V794" t="s">
        <v>2347</v>
      </c>
    </row>
    <row r="795" spans="1:22" ht="16">
      <c r="A795" t="s">
        <v>2300</v>
      </c>
      <c r="B795" t="s">
        <v>2343</v>
      </c>
      <c r="C795" t="s">
        <v>80</v>
      </c>
      <c r="D795" t="s">
        <v>2348</v>
      </c>
      <c r="E795" t="s">
        <v>74</v>
      </c>
      <c r="F795" t="s">
        <v>3</v>
      </c>
      <c r="G795" t="str">
        <f>HYPERLINK("https://www.facebook.com/permalink.php?story_fbid=pfbid02rbt51TUb57HR4F6gBd5FwSTuyaUp3gHvM6gsAExHboTPbUq2FdNvTKt3sBpRB8pml&amp;id=100006975138432&amp;comment_id=4304311439785144")</f>
        <v>https://www.facebook.com/permalink.php?story_fbid=pfbid02rbt51TUb57HR4F6gBd5FwSTuyaUp3gHvM6gsAExHboTPbUq2FdNvTKt3sBpRB8pml&amp;id=100006975138432&amp;comment_id=4304311439785144</v>
      </c>
      <c r="H795" t="s">
        <v>28</v>
      </c>
      <c r="I795" t="s">
        <v>2349</v>
      </c>
      <c r="K795" t="str">
        <f>HYPERLINK("https://www.facebook.com/100014042628842")</f>
        <v>https://www.facebook.com/100014042628842</v>
      </c>
      <c r="M795" t="s">
        <v>40</v>
      </c>
      <c r="N795" t="s">
        <v>31</v>
      </c>
      <c r="O795" t="s">
        <v>1399</v>
      </c>
      <c r="P795" t="str">
        <f>HYPERLINK("https://www.facebook.com/100006975138432")</f>
        <v>https://www.facebook.com/100006975138432</v>
      </c>
      <c r="R795" t="s">
        <v>32</v>
      </c>
      <c r="S795" t="s">
        <v>85</v>
      </c>
      <c r="T795" t="s">
        <v>34</v>
      </c>
      <c r="U795" t="s">
        <v>58</v>
      </c>
      <c r="V795" t="s">
        <v>58</v>
      </c>
    </row>
    <row r="796" spans="1:22" ht="16">
      <c r="A796" t="s">
        <v>2300</v>
      </c>
      <c r="B796" t="s">
        <v>2350</v>
      </c>
      <c r="C796" t="s">
        <v>80</v>
      </c>
      <c r="D796" t="s">
        <v>2351</v>
      </c>
      <c r="E796" t="s">
        <v>74</v>
      </c>
      <c r="F796" t="s">
        <v>3</v>
      </c>
      <c r="G796" t="str">
        <f>HYPERLINK("https://www.facebook.com/westukrnews/posts/pfbid05KpJzZfAmc7DG6HMNPojmy3FDtYQBjx33JCcksAdDUDGcWNSDnn66BSqDiowXeWol?comment_id=1124384136416522")</f>
        <v>https://www.facebook.com/westukrnews/posts/pfbid05KpJzZfAmc7DG6HMNPojmy3FDtYQBjx33JCcksAdDUDGcWNSDnn66BSqDiowXeWol?comment_id=1124384136416522</v>
      </c>
      <c r="H796" t="s">
        <v>28</v>
      </c>
      <c r="I796" t="s">
        <v>2352</v>
      </c>
      <c r="K796" t="str">
        <f>HYPERLINK("https://www.facebook.com/100014543760221")</f>
        <v>https://www.facebook.com/100014543760221</v>
      </c>
      <c r="M796" t="s">
        <v>40</v>
      </c>
      <c r="N796" t="s">
        <v>31</v>
      </c>
      <c r="O796" t="s">
        <v>813</v>
      </c>
      <c r="P796" t="str">
        <f>HYPERLINK("https://www.facebook.com/264234810584424")</f>
        <v>https://www.facebook.com/264234810584424</v>
      </c>
      <c r="Q796">
        <v>559985</v>
      </c>
      <c r="R796" t="s">
        <v>32</v>
      </c>
      <c r="S796" t="s">
        <v>33</v>
      </c>
      <c r="T796" t="s">
        <v>34</v>
      </c>
      <c r="U796" t="s">
        <v>265</v>
      </c>
      <c r="V796" t="s">
        <v>1863</v>
      </c>
    </row>
    <row r="797" spans="1:22" ht="16">
      <c r="A797" t="s">
        <v>2300</v>
      </c>
      <c r="B797" t="s">
        <v>2350</v>
      </c>
      <c r="C797" t="s">
        <v>80</v>
      </c>
      <c r="D797" t="s">
        <v>2353</v>
      </c>
      <c r="E797" t="s">
        <v>74</v>
      </c>
      <c r="F797" t="s">
        <v>3</v>
      </c>
      <c r="G797" t="str">
        <f>HYPERLINK("https://www.facebook.com/westukrnews/posts/pfbid05KpJzZfAmc7DG6HMNPojmy3FDtYQBjx33JCcksAdDUDGcWNSDnn66BSqDiowXeWol?comment_id=906461952363022")</f>
        <v>https://www.facebook.com/westukrnews/posts/pfbid05KpJzZfAmc7DG6HMNPojmy3FDtYQBjx33JCcksAdDUDGcWNSDnn66BSqDiowXeWol?comment_id=906461952363022</v>
      </c>
      <c r="H797" t="s">
        <v>28</v>
      </c>
      <c r="I797" t="s">
        <v>2354</v>
      </c>
      <c r="K797" t="str">
        <f>HYPERLINK("https://www.facebook.com/100008170187154")</f>
        <v>https://www.facebook.com/100008170187154</v>
      </c>
      <c r="M797" t="s">
        <v>30</v>
      </c>
      <c r="N797" t="s">
        <v>31</v>
      </c>
      <c r="O797" t="s">
        <v>813</v>
      </c>
      <c r="P797" t="str">
        <f>HYPERLINK("https://www.facebook.com/264234810584424")</f>
        <v>https://www.facebook.com/264234810584424</v>
      </c>
      <c r="Q797">
        <v>559985</v>
      </c>
      <c r="R797" t="s">
        <v>32</v>
      </c>
      <c r="S797" t="s">
        <v>85</v>
      </c>
      <c r="T797" t="s">
        <v>86</v>
      </c>
      <c r="U797" t="s">
        <v>1904</v>
      </c>
      <c r="V797" t="s">
        <v>2355</v>
      </c>
    </row>
    <row r="798" spans="1:20" ht="16">
      <c r="A798" t="s">
        <v>2300</v>
      </c>
      <c r="B798" t="s">
        <v>2350</v>
      </c>
      <c r="C798" t="s">
        <v>24</v>
      </c>
      <c r="D798" t="s">
        <v>2276</v>
      </c>
      <c r="E798" t="s">
        <v>45</v>
      </c>
      <c r="F798" t="s">
        <v>3</v>
      </c>
      <c r="G798" t="str">
        <f>HYPERLINK("https://twitter.com/zostpost/status/2027495861719036222")</f>
        <v>https://twitter.com/zostpost/status/2027495861719036222</v>
      </c>
      <c r="H798" t="s">
        <v>28</v>
      </c>
      <c r="I798" t="s">
        <v>2356</v>
      </c>
      <c r="J798" t="s">
        <v>2356</v>
      </c>
      <c r="K798" t="str">
        <f>HYPERLINK("http://twitter.com/zostpost")</f>
        <v>http://twitter.com/zostpost</v>
      </c>
      <c r="L798">
        <v>1263</v>
      </c>
      <c r="N798" t="s">
        <v>278</v>
      </c>
      <c r="R798" t="s">
        <v>32</v>
      </c>
      <c r="S798" t="s">
        <v>33</v>
      </c>
      <c r="T798" t="s">
        <v>1761</v>
      </c>
    </row>
    <row r="799" spans="1:22" ht="16">
      <c r="A799" t="s">
        <v>2300</v>
      </c>
      <c r="B799" t="s">
        <v>2357</v>
      </c>
      <c r="C799" t="s">
        <v>80</v>
      </c>
      <c r="D799" t="s">
        <v>2358</v>
      </c>
      <c r="E799" t="s">
        <v>74</v>
      </c>
      <c r="F799" t="s">
        <v>3</v>
      </c>
      <c r="G799" t="str">
        <f>HYPERLINK("https://www.facebook.com/permalink.php?story_fbid=pfbid02rbt51TUb57HR4F6gBd5FwSTuyaUp3gHvM6gsAExHboTPbUq2FdNvTKt3sBpRB8pml&amp;id=100006975138432&amp;comment_id=2595063637544721")</f>
        <v>https://www.facebook.com/permalink.php?story_fbid=pfbid02rbt51TUb57HR4F6gBd5FwSTuyaUp3gHvM6gsAExHboTPbUq2FdNvTKt3sBpRB8pml&amp;id=100006975138432&amp;comment_id=2595063637544721</v>
      </c>
      <c r="H799" t="s">
        <v>28</v>
      </c>
      <c r="I799" t="s">
        <v>2359</v>
      </c>
      <c r="K799" t="str">
        <f>HYPERLINK("https://www.facebook.com/100044389306942")</f>
        <v>https://www.facebook.com/100044389306942</v>
      </c>
      <c r="M799" t="s">
        <v>30</v>
      </c>
      <c r="N799" t="s">
        <v>31</v>
      </c>
      <c r="O799" t="s">
        <v>1399</v>
      </c>
      <c r="P799" t="str">
        <f>HYPERLINK("https://www.facebook.com/100006975138432")</f>
        <v>https://www.facebook.com/100006975138432</v>
      </c>
      <c r="R799" t="s">
        <v>32</v>
      </c>
      <c r="S799" t="s">
        <v>33</v>
      </c>
      <c r="T799" t="s">
        <v>34</v>
      </c>
      <c r="U799" t="s">
        <v>235</v>
      </c>
      <c r="V799" t="s">
        <v>1061</v>
      </c>
    </row>
    <row r="800" spans="1:22" ht="16">
      <c r="A800" t="s">
        <v>2300</v>
      </c>
      <c r="B800" t="s">
        <v>2360</v>
      </c>
      <c r="C800" t="s">
        <v>80</v>
      </c>
      <c r="D800" t="s">
        <v>2361</v>
      </c>
      <c r="E800" t="s">
        <v>74</v>
      </c>
      <c r="F800" t="s">
        <v>3</v>
      </c>
      <c r="G800" t="str">
        <f>HYPERLINK("https://www.facebook.com/westukrnews/posts/pfbid05KpJzZfAmc7DG6HMNPojmy3FDtYQBjx33JCcksAdDUDGcWNSDnn66BSqDiowXeWol?comment_id=2566007217127136&amp;reply_comment_id=988920150127093")</f>
        <v>https://www.facebook.com/westukrnews/posts/pfbid05KpJzZfAmc7DG6HMNPojmy3FDtYQBjx33JCcksAdDUDGcWNSDnn66BSqDiowXeWol?comment_id=2566007217127136&amp;reply_comment_id=988920150127093</v>
      </c>
      <c r="H800" t="s">
        <v>28</v>
      </c>
      <c r="I800" t="s">
        <v>2362</v>
      </c>
      <c r="K800" t="str">
        <f>HYPERLINK("https://www.facebook.com/61586483394817")</f>
        <v>https://www.facebook.com/61586483394817</v>
      </c>
      <c r="M800" t="s">
        <v>30</v>
      </c>
      <c r="N800" t="s">
        <v>31</v>
      </c>
      <c r="O800" t="s">
        <v>813</v>
      </c>
      <c r="P800" t="str">
        <f>HYPERLINK("https://www.facebook.com/264234810584424")</f>
        <v>https://www.facebook.com/264234810584424</v>
      </c>
      <c r="Q800">
        <v>559985</v>
      </c>
      <c r="R800" t="s">
        <v>32</v>
      </c>
      <c r="S800" t="s">
        <v>85</v>
      </c>
      <c r="T800" t="s">
        <v>34</v>
      </c>
      <c r="U800" t="s">
        <v>487</v>
      </c>
      <c r="V800" t="s">
        <v>814</v>
      </c>
    </row>
    <row r="801" spans="1:22" ht="16">
      <c r="A801" t="s">
        <v>2300</v>
      </c>
      <c r="B801" t="s">
        <v>2363</v>
      </c>
      <c r="C801" t="s">
        <v>768</v>
      </c>
      <c r="D801" t="s">
        <v>2364</v>
      </c>
      <c r="E801" t="s">
        <v>74</v>
      </c>
      <c r="F801" t="s">
        <v>3</v>
      </c>
      <c r="G801" t="str">
        <f>HYPERLINK("https://www.facebook.com/toyelviv/posts/pfbid02HyVHmdRrHaKvpJCV4k8sSATEQmB44tvrgpepSrJQ66Qs74jVAzPQ6qaz5ZMHUoNBl?comment_id=2056344491960652")</f>
        <v>https://www.facebook.com/toyelviv/posts/pfbid02HyVHmdRrHaKvpJCV4k8sSATEQmB44tvrgpepSrJQ66Qs74jVAzPQ6qaz5ZMHUoNBl?comment_id=2056344491960652</v>
      </c>
      <c r="H801" t="s">
        <v>28</v>
      </c>
      <c r="I801" t="s">
        <v>2365</v>
      </c>
      <c r="K801" t="str">
        <f>HYPERLINK("https://www.facebook.com/100055613208954")</f>
        <v>https://www.facebook.com/100055613208954</v>
      </c>
      <c r="M801" t="s">
        <v>30</v>
      </c>
      <c r="N801" t="s">
        <v>31</v>
      </c>
      <c r="O801" t="s">
        <v>1559</v>
      </c>
      <c r="P801" t="str">
        <f>HYPERLINK("https://www.facebook.com/320892981422193")</f>
        <v>https://www.facebook.com/320892981422193</v>
      </c>
      <c r="Q801">
        <v>293869</v>
      </c>
      <c r="R801" t="s">
        <v>32</v>
      </c>
      <c r="S801" t="s">
        <v>33</v>
      </c>
      <c r="T801" t="s">
        <v>34</v>
      </c>
      <c r="U801" t="s">
        <v>41</v>
      </c>
      <c r="V801" t="s">
        <v>42</v>
      </c>
    </row>
    <row r="802" spans="1:22" ht="16">
      <c r="A802" t="s">
        <v>2300</v>
      </c>
      <c r="B802" t="s">
        <v>2363</v>
      </c>
      <c r="C802" t="s">
        <v>80</v>
      </c>
      <c r="D802" t="s">
        <v>2366</v>
      </c>
      <c r="E802" t="s">
        <v>74</v>
      </c>
      <c r="F802" t="s">
        <v>3</v>
      </c>
      <c r="G802" t="str">
        <f>HYPERLINK("https://www.facebook.com/westukrnews/posts/pfbid05KpJzZfAmc7DG6HMNPojmy3FDtYQBjx33JCcksAdDUDGcWNSDnn66BSqDiowXeWol?comment_id=2641445136240986&amp;reply_comment_id=936867858683322")</f>
        <v>https://www.facebook.com/westukrnews/posts/pfbid05KpJzZfAmc7DG6HMNPojmy3FDtYQBjx33JCcksAdDUDGcWNSDnn66BSqDiowXeWol?comment_id=2641445136240986&amp;reply_comment_id=936867858683322</v>
      </c>
      <c r="H802" t="s">
        <v>28</v>
      </c>
      <c r="I802" t="s">
        <v>2367</v>
      </c>
      <c r="K802" t="str">
        <f>HYPERLINK("https://www.facebook.com/100023258864156")</f>
        <v>https://www.facebook.com/100023258864156</v>
      </c>
      <c r="M802" t="s">
        <v>30</v>
      </c>
      <c r="N802" t="s">
        <v>31</v>
      </c>
      <c r="O802" t="s">
        <v>813</v>
      </c>
      <c r="P802" t="str">
        <f>HYPERLINK("https://www.facebook.com/264234810584424")</f>
        <v>https://www.facebook.com/264234810584424</v>
      </c>
      <c r="Q802">
        <v>559985</v>
      </c>
      <c r="R802" t="s">
        <v>32</v>
      </c>
      <c r="S802" t="s">
        <v>85</v>
      </c>
      <c r="T802" t="s">
        <v>34</v>
      </c>
      <c r="U802" t="s">
        <v>371</v>
      </c>
      <c r="V802" t="s">
        <v>1014</v>
      </c>
    </row>
    <row r="803" spans="1:22" ht="16">
      <c r="A803" t="s">
        <v>2300</v>
      </c>
      <c r="B803" t="s">
        <v>2368</v>
      </c>
      <c r="C803" t="s">
        <v>24</v>
      </c>
      <c r="D803" t="s">
        <v>238</v>
      </c>
      <c r="E803" t="s">
        <v>45</v>
      </c>
      <c r="F803" t="s">
        <v>3</v>
      </c>
      <c r="G803" t="str">
        <f>HYPERLINK("https://www.facebook.com/911760554778086")</f>
        <v>https://www.facebook.com/911760554778086</v>
      </c>
      <c r="H803" t="s">
        <v>28</v>
      </c>
      <c r="I803" t="s">
        <v>2369</v>
      </c>
      <c r="K803" t="str">
        <f>HYPERLINK("https://www.facebook.com/100078324487896")</f>
        <v>https://www.facebook.com/100078324487896</v>
      </c>
      <c r="M803" t="s">
        <v>30</v>
      </c>
      <c r="N803" t="s">
        <v>31</v>
      </c>
      <c r="O803" t="s">
        <v>2369</v>
      </c>
      <c r="P803" t="str">
        <f>HYPERLINK("https://www.facebook.com/100078324487896")</f>
        <v>https://www.facebook.com/100078324487896</v>
      </c>
      <c r="R803" t="s">
        <v>32</v>
      </c>
      <c r="S803" t="s">
        <v>33</v>
      </c>
      <c r="T803" t="s">
        <v>1032</v>
      </c>
      <c r="U803" t="s">
        <v>1654</v>
      </c>
      <c r="V803" t="s">
        <v>1654</v>
      </c>
    </row>
    <row r="804" spans="1:22" ht="16">
      <c r="A804" t="s">
        <v>2300</v>
      </c>
      <c r="B804" t="s">
        <v>2370</v>
      </c>
      <c r="C804" t="s">
        <v>80</v>
      </c>
      <c r="D804" t="s">
        <v>2371</v>
      </c>
      <c r="E804" t="s">
        <v>74</v>
      </c>
      <c r="F804" t="s">
        <v>3</v>
      </c>
      <c r="G804" t="str">
        <f>HYPERLINK("https://www.facebook.com/westukrnews/posts/pfbid05KpJzZfAmc7DG6HMNPojmy3FDtYQBjx33JCcksAdDUDGcWNSDnn66BSqDiowXeWol?comment_id=778938628599280")</f>
        <v>https://www.facebook.com/westukrnews/posts/pfbid05KpJzZfAmc7DG6HMNPojmy3FDtYQBjx33JCcksAdDUDGcWNSDnn66BSqDiowXeWol?comment_id=778938628599280</v>
      </c>
      <c r="H804" t="s">
        <v>28</v>
      </c>
      <c r="I804" t="s">
        <v>2367</v>
      </c>
      <c r="K804" t="str">
        <f>HYPERLINK("https://www.facebook.com/100023258864156")</f>
        <v>https://www.facebook.com/100023258864156</v>
      </c>
      <c r="M804" t="s">
        <v>30</v>
      </c>
      <c r="N804" t="s">
        <v>31</v>
      </c>
      <c r="O804" t="s">
        <v>813</v>
      </c>
      <c r="P804" t="str">
        <f>HYPERLINK("https://www.facebook.com/264234810584424")</f>
        <v>https://www.facebook.com/264234810584424</v>
      </c>
      <c r="Q804">
        <v>559985</v>
      </c>
      <c r="R804" t="s">
        <v>32</v>
      </c>
      <c r="S804" t="s">
        <v>33</v>
      </c>
      <c r="T804" t="s">
        <v>34</v>
      </c>
      <c r="U804" t="s">
        <v>371</v>
      </c>
      <c r="V804" t="s">
        <v>1014</v>
      </c>
    </row>
    <row r="805" spans="1:22" ht="16">
      <c r="A805" t="s">
        <v>2300</v>
      </c>
      <c r="B805" t="s">
        <v>2370</v>
      </c>
      <c r="C805" t="s">
        <v>80</v>
      </c>
      <c r="D805" t="s">
        <v>2372</v>
      </c>
      <c r="E805" t="s">
        <v>74</v>
      </c>
      <c r="F805" t="s">
        <v>3</v>
      </c>
      <c r="G805" t="str">
        <f>HYPERLINK("https://www.facebook.com/westukrnews/posts/pfbid05KpJzZfAmc7DG6HMNPojmy3FDtYQBjx33JCcksAdDUDGcWNSDnn66BSqDiowXeWol?comment_id=929952756491965")</f>
        <v>https://www.facebook.com/westukrnews/posts/pfbid05KpJzZfAmc7DG6HMNPojmy3FDtYQBjx33JCcksAdDUDGcWNSDnn66BSqDiowXeWol?comment_id=929952756491965</v>
      </c>
      <c r="H805" t="s">
        <v>28</v>
      </c>
      <c r="I805" t="s">
        <v>2373</v>
      </c>
      <c r="K805" t="str">
        <f>HYPERLINK("https://www.facebook.com/100028064027847")</f>
        <v>https://www.facebook.com/100028064027847</v>
      </c>
      <c r="M805" t="s">
        <v>30</v>
      </c>
      <c r="N805" t="s">
        <v>31</v>
      </c>
      <c r="O805" t="s">
        <v>813</v>
      </c>
      <c r="P805" t="str">
        <f>HYPERLINK("https://www.facebook.com/264234810584424")</f>
        <v>https://www.facebook.com/264234810584424</v>
      </c>
      <c r="Q805">
        <v>559985</v>
      </c>
      <c r="R805" t="s">
        <v>32</v>
      </c>
      <c r="S805" t="s">
        <v>33</v>
      </c>
      <c r="T805" t="s">
        <v>34</v>
      </c>
      <c r="U805" t="s">
        <v>487</v>
      </c>
      <c r="V805" t="s">
        <v>814</v>
      </c>
    </row>
    <row r="806" spans="1:22" ht="16">
      <c r="A806" t="s">
        <v>2300</v>
      </c>
      <c r="B806" t="s">
        <v>121</v>
      </c>
      <c r="C806" t="s">
        <v>80</v>
      </c>
      <c r="D806" t="s">
        <v>2374</v>
      </c>
      <c r="E806" t="s">
        <v>74</v>
      </c>
      <c r="F806" t="s">
        <v>3</v>
      </c>
      <c r="G806" t="str">
        <f>HYPERLINK("https://www.facebook.com/westukrnews/posts/pfbid05KpJzZfAmc7DG6HMNPojmy3FDtYQBjx33JCcksAdDUDGcWNSDnn66BSqDiowXeWol?comment_id=1299497992062468")</f>
        <v>https://www.facebook.com/westukrnews/posts/pfbid05KpJzZfAmc7DG6HMNPojmy3FDtYQBjx33JCcksAdDUDGcWNSDnn66BSqDiowXeWol?comment_id=1299497992062468</v>
      </c>
      <c r="H806" t="s">
        <v>28</v>
      </c>
      <c r="I806" t="s">
        <v>2375</v>
      </c>
      <c r="K806" t="str">
        <f>HYPERLINK("https://www.facebook.com/100022914891627")</f>
        <v>https://www.facebook.com/100022914891627</v>
      </c>
      <c r="M806" t="s">
        <v>40</v>
      </c>
      <c r="N806" t="s">
        <v>31</v>
      </c>
      <c r="O806" t="s">
        <v>813</v>
      </c>
      <c r="P806" t="str">
        <f>HYPERLINK("https://www.facebook.com/264234810584424")</f>
        <v>https://www.facebook.com/264234810584424</v>
      </c>
      <c r="Q806">
        <v>559985</v>
      </c>
      <c r="R806" t="s">
        <v>32</v>
      </c>
      <c r="S806" t="s">
        <v>33</v>
      </c>
      <c r="T806" t="s">
        <v>34</v>
      </c>
      <c r="U806" t="s">
        <v>41</v>
      </c>
      <c r="V806" t="s">
        <v>42</v>
      </c>
    </row>
    <row r="807" spans="1:20" ht="16">
      <c r="A807" t="s">
        <v>2300</v>
      </c>
      <c r="B807" t="s">
        <v>121</v>
      </c>
      <c r="C807" t="s">
        <v>24</v>
      </c>
      <c r="D807" t="s">
        <v>2007</v>
      </c>
      <c r="E807" t="s">
        <v>45</v>
      </c>
      <c r="F807" t="s">
        <v>281</v>
      </c>
      <c r="G807" t="str">
        <f>HYPERLINK("https://twitter.com/Marina59269252/status/2027494261038461209")</f>
        <v>https://twitter.com/Marina59269252/status/2027494261038461209</v>
      </c>
      <c r="H807" t="s">
        <v>28</v>
      </c>
      <c r="I807" t="s">
        <v>2376</v>
      </c>
      <c r="J807" t="s">
        <v>2377</v>
      </c>
      <c r="K807" t="str">
        <f>HYPERLINK("http://twitter.com/Marina59269252")</f>
        <v>http://twitter.com/Marina59269252</v>
      </c>
      <c r="L807">
        <v>202</v>
      </c>
      <c r="M807" t="s">
        <v>30</v>
      </c>
      <c r="N807" t="s">
        <v>278</v>
      </c>
      <c r="R807" t="s">
        <v>32</v>
      </c>
      <c r="S807" t="s">
        <v>33</v>
      </c>
      <c r="T807" t="s">
        <v>34</v>
      </c>
    </row>
    <row r="808" spans="1:20" ht="16">
      <c r="A808" t="s">
        <v>2300</v>
      </c>
      <c r="B808" t="s">
        <v>986</v>
      </c>
      <c r="C808" t="s">
        <v>24</v>
      </c>
      <c r="D808" t="s">
        <v>2007</v>
      </c>
      <c r="E808" t="s">
        <v>45</v>
      </c>
      <c r="F808" t="s">
        <v>281</v>
      </c>
      <c r="G808" t="str">
        <f>HYPERLINK("https://twitter.com/Ukrainian61288/status/2027493968028590267")</f>
        <v>https://twitter.com/Ukrainian61288/status/2027493968028590267</v>
      </c>
      <c r="H808" t="s">
        <v>28</v>
      </c>
      <c r="I808" t="s">
        <v>2378</v>
      </c>
      <c r="J808" t="s">
        <v>2379</v>
      </c>
      <c r="K808" t="str">
        <f>HYPERLINK("http://twitter.com/Ukrainian61288")</f>
        <v>http://twitter.com/Ukrainian61288</v>
      </c>
      <c r="L808">
        <v>274</v>
      </c>
      <c r="M808" t="s">
        <v>30</v>
      </c>
      <c r="N808" t="s">
        <v>278</v>
      </c>
      <c r="R808" t="s">
        <v>32</v>
      </c>
      <c r="S808" t="s">
        <v>33</v>
      </c>
      <c r="T808" t="s">
        <v>34</v>
      </c>
    </row>
    <row r="809" spans="1:22" ht="16">
      <c r="A809" t="s">
        <v>2300</v>
      </c>
      <c r="B809" t="s">
        <v>989</v>
      </c>
      <c r="C809" t="s">
        <v>2380</v>
      </c>
      <c r="D809" t="s">
        <v>2381</v>
      </c>
      <c r="E809" t="s">
        <v>74</v>
      </c>
      <c r="F809" t="s">
        <v>3</v>
      </c>
      <c r="G809" t="str">
        <f>HYPERLINK("https://www.facebook.com/groups/freeproskuriv/posts/3332742730208675/?comment_id=3332933746856240")</f>
        <v>https://www.facebook.com/groups/freeproskuriv/posts/3332742730208675/?comment_id=3332933746856240</v>
      </c>
      <c r="H809" t="s">
        <v>28</v>
      </c>
      <c r="I809" t="s">
        <v>2382</v>
      </c>
      <c r="K809" t="str">
        <f>HYPERLINK("https://www.facebook.com/100023052951563")</f>
        <v>https://www.facebook.com/100023052951563</v>
      </c>
      <c r="M809" t="s">
        <v>40</v>
      </c>
      <c r="N809" t="s">
        <v>31</v>
      </c>
      <c r="O809" t="s">
        <v>2383</v>
      </c>
      <c r="P809" t="str">
        <f>HYPERLINK("https://www.facebook.com/606259306190378")</f>
        <v>https://www.facebook.com/606259306190378</v>
      </c>
      <c r="Q809">
        <v>3386</v>
      </c>
      <c r="R809" t="s">
        <v>32</v>
      </c>
      <c r="S809" t="s">
        <v>859</v>
      </c>
      <c r="T809" t="s">
        <v>34</v>
      </c>
      <c r="U809" t="s">
        <v>542</v>
      </c>
      <c r="V809" t="s">
        <v>1716</v>
      </c>
    </row>
    <row r="810" spans="1:22" ht="16">
      <c r="A810" t="s">
        <v>2300</v>
      </c>
      <c r="B810" t="s">
        <v>2384</v>
      </c>
      <c r="C810" t="s">
        <v>24</v>
      </c>
      <c r="D810" t="s">
        <v>254</v>
      </c>
      <c r="E810" t="s">
        <v>45</v>
      </c>
      <c r="F810" t="s">
        <v>46</v>
      </c>
      <c r="G810" t="str">
        <f>HYPERLINK("https://www.facebook.com/34168002946177320")</f>
        <v>https://www.facebook.com/34168002946177320</v>
      </c>
      <c r="H810" t="s">
        <v>28</v>
      </c>
      <c r="I810" t="s">
        <v>2385</v>
      </c>
      <c r="J810" t="s">
        <v>2386</v>
      </c>
      <c r="K810" t="str">
        <f>HYPERLINK("https://www.facebook.com/100001831539413")</f>
        <v>https://www.facebook.com/100001831539413</v>
      </c>
      <c r="M810" t="s">
        <v>30</v>
      </c>
      <c r="N810" t="s">
        <v>31</v>
      </c>
      <c r="O810" t="s">
        <v>2385</v>
      </c>
      <c r="P810" t="str">
        <f>HYPERLINK("https://www.facebook.com/100001831539413")</f>
        <v>https://www.facebook.com/100001831539413</v>
      </c>
      <c r="R810" t="s">
        <v>32</v>
      </c>
      <c r="S810" t="s">
        <v>33</v>
      </c>
      <c r="T810" t="s">
        <v>34</v>
      </c>
      <c r="U810" t="s">
        <v>899</v>
      </c>
      <c r="V810" t="s">
        <v>900</v>
      </c>
    </row>
    <row r="811" spans="1:22" ht="16">
      <c r="A811" t="s">
        <v>2300</v>
      </c>
      <c r="B811" t="s">
        <v>2384</v>
      </c>
      <c r="C811" t="s">
        <v>80</v>
      </c>
      <c r="D811" t="s">
        <v>2387</v>
      </c>
      <c r="E811" t="s">
        <v>74</v>
      </c>
      <c r="F811" t="s">
        <v>3</v>
      </c>
      <c r="G811" t="str">
        <f>HYPERLINK("https://www.facebook.com/westukrnews/posts/pfbid05KpJzZfAmc7DG6HMNPojmy3FDtYQBjx33JCcksAdDUDGcWNSDnn66BSqDiowXeWol?comment_id=3039193332947721")</f>
        <v>https://www.facebook.com/westukrnews/posts/pfbid05KpJzZfAmc7DG6HMNPojmy3FDtYQBjx33JCcksAdDUDGcWNSDnn66BSqDiowXeWol?comment_id=3039193332947721</v>
      </c>
      <c r="H811" t="s">
        <v>28</v>
      </c>
      <c r="I811" t="s">
        <v>2388</v>
      </c>
      <c r="K811" t="str">
        <f>HYPERLINK("https://www.facebook.com/100079558300984")</f>
        <v>https://www.facebook.com/100079558300984</v>
      </c>
      <c r="M811" t="s">
        <v>40</v>
      </c>
      <c r="N811" t="s">
        <v>31</v>
      </c>
      <c r="O811" t="s">
        <v>813</v>
      </c>
      <c r="P811" t="str">
        <f>HYPERLINK("https://www.facebook.com/264234810584424")</f>
        <v>https://www.facebook.com/264234810584424</v>
      </c>
      <c r="Q811">
        <v>559985</v>
      </c>
      <c r="R811" t="s">
        <v>32</v>
      </c>
      <c r="S811" t="s">
        <v>85</v>
      </c>
      <c r="T811" t="s">
        <v>34</v>
      </c>
      <c r="U811" t="s">
        <v>487</v>
      </c>
      <c r="V811" t="s">
        <v>814</v>
      </c>
    </row>
    <row r="812" spans="1:22" ht="16">
      <c r="A812" t="s">
        <v>2300</v>
      </c>
      <c r="B812" t="s">
        <v>2384</v>
      </c>
      <c r="C812" t="s">
        <v>768</v>
      </c>
      <c r="D812" t="s">
        <v>2389</v>
      </c>
      <c r="E812" t="s">
        <v>74</v>
      </c>
      <c r="F812" t="s">
        <v>3</v>
      </c>
      <c r="G812" t="str">
        <f>HYPERLINK("https://www.facebook.com/toyelviv/posts/pfbid02HyVHmdRrHaKvpJCV4k8sSATEQmB44tvrgpepSrJQ66Qs74jVAzPQ6qaz5ZMHUoNBl?comment_id=3357838774369313")</f>
        <v>https://www.facebook.com/toyelviv/posts/pfbid02HyVHmdRrHaKvpJCV4k8sSATEQmB44tvrgpepSrJQ66Qs74jVAzPQ6qaz5ZMHUoNBl?comment_id=3357838774369313</v>
      </c>
      <c r="H812" t="s">
        <v>28</v>
      </c>
      <c r="I812" t="s">
        <v>2390</v>
      </c>
      <c r="K812" t="str">
        <f>HYPERLINK("https://www.facebook.com/100008399897272")</f>
        <v>https://www.facebook.com/100008399897272</v>
      </c>
      <c r="M812" t="s">
        <v>30</v>
      </c>
      <c r="N812" t="s">
        <v>31</v>
      </c>
      <c r="O812" t="s">
        <v>1559</v>
      </c>
      <c r="P812" t="str">
        <f>HYPERLINK("https://www.facebook.com/320892981422193")</f>
        <v>https://www.facebook.com/320892981422193</v>
      </c>
      <c r="Q812">
        <v>293869</v>
      </c>
      <c r="R812" t="s">
        <v>32</v>
      </c>
      <c r="S812" t="s">
        <v>33</v>
      </c>
      <c r="T812" t="s">
        <v>34</v>
      </c>
      <c r="U812" t="s">
        <v>41</v>
      </c>
      <c r="V812" t="s">
        <v>2391</v>
      </c>
    </row>
    <row r="813" spans="1:22" ht="16">
      <c r="A813" t="s">
        <v>2300</v>
      </c>
      <c r="B813" t="s">
        <v>2392</v>
      </c>
      <c r="C813" t="s">
        <v>24</v>
      </c>
      <c r="D813" t="s">
        <v>2393</v>
      </c>
      <c r="E813" t="s">
        <v>26</v>
      </c>
      <c r="F813" t="s">
        <v>27</v>
      </c>
      <c r="G813" t="str">
        <f>HYPERLINK("https://www.facebook.com/1976472039970176")</f>
        <v>https://www.facebook.com/1976472039970176</v>
      </c>
      <c r="H813" t="s">
        <v>28</v>
      </c>
      <c r="I813" t="s">
        <v>2394</v>
      </c>
      <c r="K813" t="str">
        <f>HYPERLINK("https://www.facebook.com/100028221963463")</f>
        <v>https://www.facebook.com/100028221963463</v>
      </c>
      <c r="M813" t="s">
        <v>30</v>
      </c>
      <c r="N813" t="s">
        <v>31</v>
      </c>
      <c r="O813" t="s">
        <v>2394</v>
      </c>
      <c r="P813" t="str">
        <f>HYPERLINK("https://www.facebook.com/100028221963463")</f>
        <v>https://www.facebook.com/100028221963463</v>
      </c>
      <c r="R813" t="s">
        <v>32</v>
      </c>
      <c r="S813" t="s">
        <v>33</v>
      </c>
      <c r="T813" t="s">
        <v>34</v>
      </c>
      <c r="U813" t="s">
        <v>487</v>
      </c>
      <c r="V813" t="s">
        <v>2395</v>
      </c>
    </row>
    <row r="814" spans="1:20" ht="16">
      <c r="A814" t="s">
        <v>2300</v>
      </c>
      <c r="B814" t="s">
        <v>2396</v>
      </c>
      <c r="C814" t="s">
        <v>24</v>
      </c>
      <c r="D814" t="s">
        <v>2007</v>
      </c>
      <c r="E814" t="s">
        <v>45</v>
      </c>
      <c r="F814" t="s">
        <v>281</v>
      </c>
      <c r="G814" t="str">
        <f>HYPERLINK("https://twitter.com/LShpakovych/status/2027491744028241937")</f>
        <v>https://twitter.com/LShpakovych/status/2027491744028241937</v>
      </c>
      <c r="H814" t="s">
        <v>28</v>
      </c>
      <c r="I814" t="s">
        <v>2397</v>
      </c>
      <c r="J814" t="s">
        <v>2398</v>
      </c>
      <c r="K814" t="str">
        <f>HYPERLINK("http://twitter.com/LShpakovych")</f>
        <v>http://twitter.com/LShpakovych</v>
      </c>
      <c r="L814">
        <v>158</v>
      </c>
      <c r="M814" t="s">
        <v>30</v>
      </c>
      <c r="N814" t="s">
        <v>278</v>
      </c>
      <c r="R814" t="s">
        <v>32</v>
      </c>
      <c r="S814" t="s">
        <v>33</v>
      </c>
      <c r="T814" t="s">
        <v>34</v>
      </c>
    </row>
    <row r="815" spans="1:22" ht="16">
      <c r="A815" t="s">
        <v>2300</v>
      </c>
      <c r="B815" t="s">
        <v>2399</v>
      </c>
      <c r="C815" t="s">
        <v>24</v>
      </c>
      <c r="D815" t="s">
        <v>2007</v>
      </c>
      <c r="E815" t="s">
        <v>45</v>
      </c>
      <c r="F815" t="s">
        <v>281</v>
      </c>
      <c r="G815" t="str">
        <f>HYPERLINK("https://twitter.com/AnatPanch/status/2027491328741781827")</f>
        <v>https://twitter.com/AnatPanch/status/2027491328741781827</v>
      </c>
      <c r="H815" t="s">
        <v>28</v>
      </c>
      <c r="I815" t="s">
        <v>1047</v>
      </c>
      <c r="J815" t="s">
        <v>1047</v>
      </c>
      <c r="K815" t="str">
        <f>HYPERLINK("http://twitter.com/AnatPanch")</f>
        <v>http://twitter.com/AnatPanch</v>
      </c>
      <c r="L815">
        <v>328</v>
      </c>
      <c r="N815" t="s">
        <v>278</v>
      </c>
      <c r="R815" t="s">
        <v>32</v>
      </c>
      <c r="S815" t="s">
        <v>33</v>
      </c>
      <c r="T815" t="s">
        <v>34</v>
      </c>
      <c r="U815" t="s">
        <v>58</v>
      </c>
      <c r="V815" t="s">
        <v>58</v>
      </c>
    </row>
    <row r="816" spans="1:22" ht="16">
      <c r="A816" t="s">
        <v>2300</v>
      </c>
      <c r="B816" t="s">
        <v>2399</v>
      </c>
      <c r="C816" t="s">
        <v>80</v>
      </c>
      <c r="D816" t="s">
        <v>2400</v>
      </c>
      <c r="E816" t="s">
        <v>74</v>
      </c>
      <c r="F816" t="s">
        <v>3</v>
      </c>
      <c r="G816" t="str">
        <f>HYPERLINK("https://www.facebook.com/permalink.php?story_fbid=pfbid02rbt51TUb57HR4F6gBd5FwSTuyaUp3gHvM6gsAExHboTPbUq2FdNvTKt3sBpRB8pml&amp;id=100006975138432&amp;comment_id=2273658986495488")</f>
        <v>https://www.facebook.com/permalink.php?story_fbid=pfbid02rbt51TUb57HR4F6gBd5FwSTuyaUp3gHvM6gsAExHboTPbUq2FdNvTKt3sBpRB8pml&amp;id=100006975138432&amp;comment_id=2273658986495488</v>
      </c>
      <c r="H816" t="s">
        <v>28</v>
      </c>
      <c r="I816" t="s">
        <v>2401</v>
      </c>
      <c r="K816" t="str">
        <f>HYPERLINK("https://www.facebook.com/100057778807091")</f>
        <v>https://www.facebook.com/100057778807091</v>
      </c>
      <c r="M816" t="s">
        <v>30</v>
      </c>
      <c r="N816" t="s">
        <v>31</v>
      </c>
      <c r="O816" t="s">
        <v>1399</v>
      </c>
      <c r="P816" t="str">
        <f>HYPERLINK("https://www.facebook.com/100006975138432")</f>
        <v>https://www.facebook.com/100006975138432</v>
      </c>
      <c r="R816" t="s">
        <v>32</v>
      </c>
      <c r="S816" t="s">
        <v>33</v>
      </c>
      <c r="T816" t="s">
        <v>34</v>
      </c>
      <c r="U816" t="s">
        <v>58</v>
      </c>
      <c r="V816" t="s">
        <v>58</v>
      </c>
    </row>
    <row r="817" spans="1:20" ht="16">
      <c r="A817" t="s">
        <v>2300</v>
      </c>
      <c r="B817" t="s">
        <v>2402</v>
      </c>
      <c r="C817" t="s">
        <v>24</v>
      </c>
      <c r="D817" t="s">
        <v>2403</v>
      </c>
      <c r="E817" t="s">
        <v>26</v>
      </c>
      <c r="F817" t="s">
        <v>2404</v>
      </c>
      <c r="G817" t="str">
        <f>HYPERLINK("https://twitter.com/MediaHab/status/2027490986230706445")</f>
        <v>https://twitter.com/MediaHab/status/2027490986230706445</v>
      </c>
      <c r="H817" t="s">
        <v>28</v>
      </c>
      <c r="I817" t="s">
        <v>2405</v>
      </c>
      <c r="J817" t="s">
        <v>2406</v>
      </c>
      <c r="K817" t="str">
        <f>HYPERLINK("http://twitter.com/MediaHab")</f>
        <v>http://twitter.com/MediaHab</v>
      </c>
      <c r="L817">
        <v>161</v>
      </c>
      <c r="N817" t="s">
        <v>278</v>
      </c>
      <c r="R817" t="s">
        <v>32</v>
      </c>
      <c r="S817" t="s">
        <v>33</v>
      </c>
      <c r="T817" t="s">
        <v>1174</v>
      </c>
    </row>
    <row r="818" spans="1:20" ht="16">
      <c r="A818" t="s">
        <v>2300</v>
      </c>
      <c r="B818" t="s">
        <v>2407</v>
      </c>
      <c r="C818" t="s">
        <v>24</v>
      </c>
      <c r="D818" t="s">
        <v>2408</v>
      </c>
      <c r="E818" t="s">
        <v>101</v>
      </c>
      <c r="F818" t="s">
        <v>281</v>
      </c>
      <c r="G818" t="str">
        <f>HYPERLINK("https://twitter.com/ParlamentKR/status/2027490844719059334")</f>
        <v>https://twitter.com/ParlamentKR/status/2027490844719059334</v>
      </c>
      <c r="H818" t="s">
        <v>28</v>
      </c>
      <c r="I818" t="s">
        <v>2409</v>
      </c>
      <c r="J818" t="s">
        <v>2410</v>
      </c>
      <c r="K818" t="str">
        <f>HYPERLINK("http://twitter.com/ParlamentKR")</f>
        <v>http://twitter.com/ParlamentKR</v>
      </c>
      <c r="L818">
        <v>380</v>
      </c>
      <c r="N818" t="s">
        <v>278</v>
      </c>
      <c r="R818" t="s">
        <v>32</v>
      </c>
      <c r="S818" t="s">
        <v>33</v>
      </c>
      <c r="T818" t="s">
        <v>34</v>
      </c>
    </row>
    <row r="819" spans="1:19" ht="16">
      <c r="A819" t="s">
        <v>2300</v>
      </c>
      <c r="B819" t="s">
        <v>2407</v>
      </c>
      <c r="C819" t="s">
        <v>24</v>
      </c>
      <c r="D819" t="s">
        <v>875</v>
      </c>
      <c r="E819" t="s">
        <v>26</v>
      </c>
      <c r="F819" t="s">
        <v>102</v>
      </c>
      <c r="G819" t="str">
        <f>HYPERLINK("https://www.facebook.com/26742180045400508")</f>
        <v>https://www.facebook.com/26742180045400508</v>
      </c>
      <c r="H819" t="s">
        <v>28</v>
      </c>
      <c r="I819" t="s">
        <v>2411</v>
      </c>
      <c r="K819" t="str">
        <f>HYPERLINK("https://www.facebook.com/100080107309637")</f>
        <v>https://www.facebook.com/100080107309637</v>
      </c>
      <c r="M819" t="s">
        <v>30</v>
      </c>
      <c r="N819" t="s">
        <v>31</v>
      </c>
      <c r="O819" t="s">
        <v>2412</v>
      </c>
      <c r="P819" t="str">
        <f>HYPERLINK("https://www.facebook.com/595133910531812")</f>
        <v>https://www.facebook.com/595133910531812</v>
      </c>
      <c r="Q819">
        <v>13882</v>
      </c>
      <c r="R819" t="s">
        <v>32</v>
      </c>
      <c r="S819" t="s">
        <v>33</v>
      </c>
    </row>
    <row r="820" spans="1:20" ht="16">
      <c r="A820" t="s">
        <v>2300</v>
      </c>
      <c r="B820" t="s">
        <v>2407</v>
      </c>
      <c r="C820" t="s">
        <v>24</v>
      </c>
      <c r="D820" t="s">
        <v>2007</v>
      </c>
      <c r="E820" t="s">
        <v>45</v>
      </c>
      <c r="F820" t="s">
        <v>281</v>
      </c>
      <c r="G820" t="str">
        <f>HYPERLINK("https://twitter.com/IvanAntonovUA/status/2027490679685824758")</f>
        <v>https://twitter.com/IvanAntonovUA/status/2027490679685824758</v>
      </c>
      <c r="H820" t="s">
        <v>28</v>
      </c>
      <c r="I820" t="s">
        <v>2413</v>
      </c>
      <c r="J820" t="s">
        <v>2414</v>
      </c>
      <c r="K820" t="str">
        <f>HYPERLINK("http://twitter.com/IvanAntonovUA")</f>
        <v>http://twitter.com/IvanAntonovUA</v>
      </c>
      <c r="L820">
        <v>31</v>
      </c>
      <c r="N820" t="s">
        <v>278</v>
      </c>
      <c r="R820" t="s">
        <v>32</v>
      </c>
      <c r="S820" t="s">
        <v>33</v>
      </c>
      <c r="T820" t="s">
        <v>34</v>
      </c>
    </row>
    <row r="821" spans="1:20" ht="16">
      <c r="A821" t="s">
        <v>2300</v>
      </c>
      <c r="B821" t="s">
        <v>2415</v>
      </c>
      <c r="C821" t="s">
        <v>24</v>
      </c>
      <c r="D821" t="s">
        <v>2305</v>
      </c>
      <c r="E821" t="s">
        <v>45</v>
      </c>
      <c r="F821" t="s">
        <v>3</v>
      </c>
      <c r="G821" t="str">
        <f>HYPERLINK("https://twitter.com/quvin1/status/2027490486869524711")</f>
        <v>https://twitter.com/quvin1/status/2027490486869524711</v>
      </c>
      <c r="H821" t="s">
        <v>28</v>
      </c>
      <c r="I821" t="s">
        <v>2416</v>
      </c>
      <c r="J821" t="s">
        <v>2417</v>
      </c>
      <c r="K821" t="str">
        <f>HYPERLINK("http://twitter.com/quvin1")</f>
        <v>http://twitter.com/quvin1</v>
      </c>
      <c r="L821">
        <v>249</v>
      </c>
      <c r="M821" t="s">
        <v>40</v>
      </c>
      <c r="N821" t="s">
        <v>278</v>
      </c>
      <c r="R821" t="s">
        <v>32</v>
      </c>
      <c r="S821" t="s">
        <v>33</v>
      </c>
      <c r="T821" t="s">
        <v>34</v>
      </c>
    </row>
    <row r="822" spans="1:19" ht="16">
      <c r="A822" t="s">
        <v>2300</v>
      </c>
      <c r="B822" t="s">
        <v>2415</v>
      </c>
      <c r="C822" t="s">
        <v>80</v>
      </c>
      <c r="D822" t="s">
        <v>2418</v>
      </c>
      <c r="E822" t="s">
        <v>74</v>
      </c>
      <c r="F822" t="s">
        <v>3</v>
      </c>
      <c r="G822" t="str">
        <f>HYPERLINK("https://www.facebook.com/westukrnews/posts/pfbid05KpJzZfAmc7DG6HMNPojmy3FDtYQBjx33JCcksAdDUDGcWNSDnn66BSqDiowXeWol?comment_id=2140573753380346")</f>
        <v>https://www.facebook.com/westukrnews/posts/pfbid05KpJzZfAmc7DG6HMNPojmy3FDtYQBjx33JCcksAdDUDGcWNSDnn66BSqDiowXeWol?comment_id=2140573753380346</v>
      </c>
      <c r="H822" t="s">
        <v>28</v>
      </c>
      <c r="I822" t="s">
        <v>2419</v>
      </c>
      <c r="K822" t="str">
        <f>HYPERLINK("https://www.facebook.com/100017377896821")</f>
        <v>https://www.facebook.com/100017377896821</v>
      </c>
      <c r="M822" t="s">
        <v>30</v>
      </c>
      <c r="N822" t="s">
        <v>31</v>
      </c>
      <c r="O822" t="s">
        <v>813</v>
      </c>
      <c r="P822" t="str">
        <f>HYPERLINK("https://www.facebook.com/264234810584424")</f>
        <v>https://www.facebook.com/264234810584424</v>
      </c>
      <c r="Q822">
        <v>559985</v>
      </c>
      <c r="R822" t="s">
        <v>32</v>
      </c>
      <c r="S822" t="s">
        <v>33</v>
      </c>
    </row>
    <row r="823" spans="1:20" ht="16">
      <c r="A823" t="s">
        <v>2300</v>
      </c>
      <c r="B823" t="s">
        <v>2420</v>
      </c>
      <c r="C823" t="s">
        <v>24</v>
      </c>
      <c r="D823" t="s">
        <v>2007</v>
      </c>
      <c r="E823" t="s">
        <v>45</v>
      </c>
      <c r="F823" t="s">
        <v>281</v>
      </c>
      <c r="G823" t="str">
        <f>HYPERLINK("https://twitter.com/nikolaynik2/status/2027490402119335994")</f>
        <v>https://twitter.com/nikolaynik2/status/2027490402119335994</v>
      </c>
      <c r="H823" t="s">
        <v>28</v>
      </c>
      <c r="I823" t="s">
        <v>2421</v>
      </c>
      <c r="J823" t="s">
        <v>2422</v>
      </c>
      <c r="K823" t="str">
        <f>HYPERLINK("http://twitter.com/nikolaynik2")</f>
        <v>http://twitter.com/nikolaynik2</v>
      </c>
      <c r="L823">
        <v>154</v>
      </c>
      <c r="N823" t="s">
        <v>278</v>
      </c>
      <c r="R823" t="s">
        <v>32</v>
      </c>
      <c r="S823" t="s">
        <v>33</v>
      </c>
      <c r="T823" t="s">
        <v>34</v>
      </c>
    </row>
    <row r="824" spans="1:22" ht="16">
      <c r="A824" t="s">
        <v>2300</v>
      </c>
      <c r="B824" t="s">
        <v>2420</v>
      </c>
      <c r="C824" t="s">
        <v>80</v>
      </c>
      <c r="D824" t="s">
        <v>2423</v>
      </c>
      <c r="E824" t="s">
        <v>74</v>
      </c>
      <c r="F824" t="s">
        <v>3</v>
      </c>
      <c r="G824" t="str">
        <f>HYPERLINK("https://www.facebook.com/Yullita74/posts/pfbid02BZjihkK27iqC5RwM64mnjUDovVzxkgDhp5G4AQtRSsVRU4RyvTBpKYigtyDmfmQsl?comment_id=1991437008105846")</f>
        <v>https://www.facebook.com/Yullita74/posts/pfbid02BZjihkK27iqC5RwM64mnjUDovVzxkgDhp5G4AQtRSsVRU4RyvTBpKYigtyDmfmQsl?comment_id=1991437008105846</v>
      </c>
      <c r="H824" t="s">
        <v>28</v>
      </c>
      <c r="I824" t="s">
        <v>2424</v>
      </c>
      <c r="J824" t="s">
        <v>2425</v>
      </c>
      <c r="K824" t="str">
        <f>HYPERLINK("https://www.facebook.com/100003898924685")</f>
        <v>https://www.facebook.com/100003898924685</v>
      </c>
      <c r="M824" t="s">
        <v>30</v>
      </c>
      <c r="N824" t="s">
        <v>31</v>
      </c>
      <c r="O824" t="s">
        <v>2426</v>
      </c>
      <c r="P824" t="str">
        <f>HYPERLINK("https://www.facebook.com/100001450230363")</f>
        <v>https://www.facebook.com/100001450230363</v>
      </c>
      <c r="R824" t="s">
        <v>32</v>
      </c>
      <c r="S824" t="s">
        <v>33</v>
      </c>
      <c r="T824" t="s">
        <v>34</v>
      </c>
      <c r="U824" t="s">
        <v>167</v>
      </c>
      <c r="V824" t="s">
        <v>752</v>
      </c>
    </row>
    <row r="825" spans="1:19" ht="16">
      <c r="A825" t="s">
        <v>2300</v>
      </c>
      <c r="B825" t="s">
        <v>2427</v>
      </c>
      <c r="C825" t="s">
        <v>24</v>
      </c>
      <c r="D825" t="s">
        <v>49</v>
      </c>
      <c r="E825" t="s">
        <v>26</v>
      </c>
      <c r="F825" t="s">
        <v>46</v>
      </c>
      <c r="G825" t="str">
        <f>HYPERLINK("https://www.threads.net/@pro.ternopil/post/DVRpkPrCA5C")</f>
        <v>https://www.threads.net/@pro.ternopil/post/DVRpkPrCA5C</v>
      </c>
      <c r="H825" t="s">
        <v>28</v>
      </c>
      <c r="I825" t="s">
        <v>2428</v>
      </c>
      <c r="J825" t="s">
        <v>2429</v>
      </c>
      <c r="K825" t="str">
        <f>HYPERLINK("https://www.threads.net/@pro.ternopil")</f>
        <v>https://www.threads.net/@pro.ternopil</v>
      </c>
      <c r="L825">
        <v>4073</v>
      </c>
      <c r="N825" t="s">
        <v>1980</v>
      </c>
      <c r="R825" t="s">
        <v>32</v>
      </c>
      <c r="S825" t="s">
        <v>33</v>
      </c>
    </row>
    <row r="826" spans="1:22" ht="16">
      <c r="A826" t="s">
        <v>2300</v>
      </c>
      <c r="B826" t="s">
        <v>2427</v>
      </c>
      <c r="C826" t="s">
        <v>24</v>
      </c>
      <c r="D826" t="s">
        <v>49</v>
      </c>
      <c r="E826" t="s">
        <v>26</v>
      </c>
      <c r="F826" t="s">
        <v>2430</v>
      </c>
      <c r="G826" t="str">
        <f>HYPERLINK("https://www.facebook.com/1327443056069328")</f>
        <v>https://www.facebook.com/1327443056069328</v>
      </c>
      <c r="H826" t="s">
        <v>28</v>
      </c>
      <c r="I826" t="s">
        <v>1735</v>
      </c>
      <c r="K826" t="str">
        <f>HYPERLINK("https://www.facebook.com/2172498003027664")</f>
        <v>https://www.facebook.com/2172498003027664</v>
      </c>
      <c r="L826">
        <v>34331</v>
      </c>
      <c r="M826" t="s">
        <v>345</v>
      </c>
      <c r="N826" t="s">
        <v>31</v>
      </c>
      <c r="O826" t="s">
        <v>1735</v>
      </c>
      <c r="P826" t="str">
        <f>HYPERLINK("https://www.facebook.com/2172498003027664")</f>
        <v>https://www.facebook.com/2172498003027664</v>
      </c>
      <c r="Q826">
        <v>34331</v>
      </c>
      <c r="R826" t="s">
        <v>32</v>
      </c>
      <c r="S826" t="s">
        <v>33</v>
      </c>
      <c r="T826" t="s">
        <v>34</v>
      </c>
      <c r="U826" t="s">
        <v>309</v>
      </c>
      <c r="V826" t="s">
        <v>606</v>
      </c>
    </row>
    <row r="827" spans="1:22" ht="16">
      <c r="A827" t="s">
        <v>2300</v>
      </c>
      <c r="B827" t="s">
        <v>2427</v>
      </c>
      <c r="C827" t="s">
        <v>24</v>
      </c>
      <c r="D827" t="s">
        <v>254</v>
      </c>
      <c r="E827" t="s">
        <v>45</v>
      </c>
      <c r="F827" t="s">
        <v>46</v>
      </c>
      <c r="G827" t="str">
        <f>HYPERLINK("https://www.facebook.com/26313889438265564")</f>
        <v>https://www.facebook.com/26313889438265564</v>
      </c>
      <c r="H827" t="s">
        <v>28</v>
      </c>
      <c r="I827" t="s">
        <v>2344</v>
      </c>
      <c r="J827" t="s">
        <v>2345</v>
      </c>
      <c r="K827" t="str">
        <f>HYPERLINK("https://www.facebook.com/100002135980981")</f>
        <v>https://www.facebook.com/100002135980981</v>
      </c>
      <c r="M827" t="s">
        <v>40</v>
      </c>
      <c r="N827" t="s">
        <v>31</v>
      </c>
      <c r="O827" t="s">
        <v>2344</v>
      </c>
      <c r="P827" t="str">
        <f>HYPERLINK("https://www.facebook.com/100002135980981")</f>
        <v>https://www.facebook.com/100002135980981</v>
      </c>
      <c r="R827" t="s">
        <v>32</v>
      </c>
      <c r="S827" t="s">
        <v>33</v>
      </c>
      <c r="T827" t="s">
        <v>1032</v>
      </c>
      <c r="U827" t="s">
        <v>2346</v>
      </c>
      <c r="V827" t="s">
        <v>2347</v>
      </c>
    </row>
    <row r="828" spans="1:22" ht="16">
      <c r="A828" t="s">
        <v>2300</v>
      </c>
      <c r="B828" t="s">
        <v>2431</v>
      </c>
      <c r="C828" t="s">
        <v>24</v>
      </c>
      <c r="D828" t="s">
        <v>49</v>
      </c>
      <c r="E828" t="s">
        <v>45</v>
      </c>
      <c r="F828" t="s">
        <v>46</v>
      </c>
      <c r="G828" t="str">
        <f>HYPERLINK("https://www.facebook.com/26076296698658406")</f>
        <v>https://www.facebook.com/26076296698658406</v>
      </c>
      <c r="H828" t="s">
        <v>28</v>
      </c>
      <c r="I828" t="s">
        <v>2432</v>
      </c>
      <c r="K828" t="str">
        <f>HYPERLINK("https://www.facebook.com/100001142946494")</f>
        <v>https://www.facebook.com/100001142946494</v>
      </c>
      <c r="M828" t="s">
        <v>30</v>
      </c>
      <c r="N828" t="s">
        <v>31</v>
      </c>
      <c r="O828" t="s">
        <v>2432</v>
      </c>
      <c r="P828" t="str">
        <f>HYPERLINK("https://www.facebook.com/100001142946494")</f>
        <v>https://www.facebook.com/100001142946494</v>
      </c>
      <c r="R828" t="s">
        <v>32</v>
      </c>
      <c r="S828" t="s">
        <v>33</v>
      </c>
      <c r="T828" t="s">
        <v>2433</v>
      </c>
      <c r="U828" t="s">
        <v>2434</v>
      </c>
      <c r="V828" t="s">
        <v>2435</v>
      </c>
    </row>
    <row r="829" spans="1:22" ht="16">
      <c r="A829" t="s">
        <v>2300</v>
      </c>
      <c r="B829" t="s">
        <v>2436</v>
      </c>
      <c r="C829" t="s">
        <v>80</v>
      </c>
      <c r="D829" t="s">
        <v>2437</v>
      </c>
      <c r="E829" t="s">
        <v>74</v>
      </c>
      <c r="F829" t="s">
        <v>3</v>
      </c>
      <c r="G829" t="str">
        <f>HYPERLINK("https://www.facebook.com/westukrnews/posts/pfbid05KpJzZfAmc7DG6HMNPojmy3FDtYQBjx33JCcksAdDUDGcWNSDnn66BSqDiowXeWol?comment_id=904447992479043")</f>
        <v>https://www.facebook.com/westukrnews/posts/pfbid05KpJzZfAmc7DG6HMNPojmy3FDtYQBjx33JCcksAdDUDGcWNSDnn66BSqDiowXeWol?comment_id=904447992479043</v>
      </c>
      <c r="H829" t="s">
        <v>28</v>
      </c>
      <c r="I829" t="s">
        <v>2438</v>
      </c>
      <c r="K829" t="str">
        <f>HYPERLINK("https://www.facebook.com/100046587131802")</f>
        <v>https://www.facebook.com/100046587131802</v>
      </c>
      <c r="M829" t="s">
        <v>30</v>
      </c>
      <c r="N829" t="s">
        <v>31</v>
      </c>
      <c r="O829" t="s">
        <v>813</v>
      </c>
      <c r="P829" t="str">
        <f>HYPERLINK("https://www.facebook.com/264234810584424")</f>
        <v>https://www.facebook.com/264234810584424</v>
      </c>
      <c r="Q829">
        <v>559985</v>
      </c>
      <c r="R829" t="s">
        <v>32</v>
      </c>
      <c r="S829" t="s">
        <v>188</v>
      </c>
      <c r="T829" t="s">
        <v>34</v>
      </c>
      <c r="U829" t="s">
        <v>478</v>
      </c>
      <c r="V829" t="s">
        <v>479</v>
      </c>
    </row>
    <row r="830" spans="1:19" ht="16">
      <c r="A830" t="s">
        <v>2300</v>
      </c>
      <c r="B830" t="s">
        <v>2439</v>
      </c>
      <c r="C830" t="s">
        <v>2440</v>
      </c>
      <c r="D830" t="s">
        <v>2441</v>
      </c>
      <c r="E830" t="s">
        <v>74</v>
      </c>
      <c r="F830" t="s">
        <v>3</v>
      </c>
      <c r="G830" t="str">
        <f>HYPERLINK("https://www.facebook.com/groups/466030927530893/posts/1867090590758246/?comment_id=1867140214086617")</f>
        <v>https://www.facebook.com/groups/466030927530893/posts/1867090590758246/?comment_id=1867140214086617</v>
      </c>
      <c r="H830" t="s">
        <v>28</v>
      </c>
      <c r="I830" t="s">
        <v>2442</v>
      </c>
      <c r="K830" t="str">
        <f>HYPERLINK("https://www.facebook.com/pfbid02GFT9gkTC4Sv3f4hMjMjcqrUXL8PsvGHnSFL7ZNC3gNnUuqCFTxRwgP4kKmcyGeXYl")</f>
        <v>https://www.facebook.com/pfbid02GFT9gkTC4Sv3f4hMjMjcqrUXL8PsvGHnSFL7ZNC3gNnUuqCFTxRwgP4kKmcyGeXYl</v>
      </c>
      <c r="M830" t="s">
        <v>30</v>
      </c>
      <c r="N830" t="s">
        <v>31</v>
      </c>
      <c r="O830" t="s">
        <v>2443</v>
      </c>
      <c r="P830" t="str">
        <f>HYPERLINK("https://www.facebook.com/466030927530893")</f>
        <v>https://www.facebook.com/466030927530893</v>
      </c>
      <c r="Q830">
        <v>3673</v>
      </c>
      <c r="R830" t="s">
        <v>32</v>
      </c>
      <c r="S830" t="s">
        <v>33</v>
      </c>
    </row>
    <row r="831" spans="1:20" ht="16">
      <c r="A831" t="s">
        <v>2300</v>
      </c>
      <c r="B831" t="s">
        <v>2444</v>
      </c>
      <c r="C831" t="s">
        <v>24</v>
      </c>
      <c r="D831" t="s">
        <v>2007</v>
      </c>
      <c r="E831" t="s">
        <v>45</v>
      </c>
      <c r="F831" t="s">
        <v>281</v>
      </c>
      <c r="G831" t="str">
        <f>HYPERLINK("https://twitter.com/MaksOwcharenko/status/2027487780071186781")</f>
        <v>https://twitter.com/MaksOwcharenko/status/2027487780071186781</v>
      </c>
      <c r="H831" t="s">
        <v>28</v>
      </c>
      <c r="I831" t="s">
        <v>2445</v>
      </c>
      <c r="J831" t="s">
        <v>2446</v>
      </c>
      <c r="K831" t="str">
        <f>HYPERLINK("http://twitter.com/MaksOwcharenko")</f>
        <v>http://twitter.com/MaksOwcharenko</v>
      </c>
      <c r="L831">
        <v>24</v>
      </c>
      <c r="M831" t="s">
        <v>40</v>
      </c>
      <c r="N831" t="s">
        <v>278</v>
      </c>
      <c r="R831" t="s">
        <v>32</v>
      </c>
      <c r="S831" t="s">
        <v>33</v>
      </c>
      <c r="T831" t="s">
        <v>34</v>
      </c>
    </row>
    <row r="832" spans="1:22" ht="16">
      <c r="A832" t="s">
        <v>2300</v>
      </c>
      <c r="B832" t="s">
        <v>2447</v>
      </c>
      <c r="C832" t="s">
        <v>80</v>
      </c>
      <c r="D832" t="s">
        <v>2448</v>
      </c>
      <c r="E832" t="s">
        <v>74</v>
      </c>
      <c r="F832" t="s">
        <v>3</v>
      </c>
      <c r="G832" t="str">
        <f>HYPERLINK("https://www.facebook.com/westukrnews/posts/pfbid05KpJzZfAmc7DG6HMNPojmy3FDtYQBjx33JCcksAdDUDGcWNSDnn66BSqDiowXeWol?comment_id=2641445136240986")</f>
        <v>https://www.facebook.com/westukrnews/posts/pfbid05KpJzZfAmc7DG6HMNPojmy3FDtYQBjx33JCcksAdDUDGcWNSDnn66BSqDiowXeWol?comment_id=2641445136240986</v>
      </c>
      <c r="H832" t="s">
        <v>28</v>
      </c>
      <c r="I832" t="s">
        <v>2449</v>
      </c>
      <c r="J832" t="s">
        <v>2450</v>
      </c>
      <c r="K832" t="str">
        <f>HYPERLINK("https://www.facebook.com/100048259122989")</f>
        <v>https://www.facebook.com/100048259122989</v>
      </c>
      <c r="M832" t="s">
        <v>30</v>
      </c>
      <c r="N832" t="s">
        <v>31</v>
      </c>
      <c r="O832" t="s">
        <v>813</v>
      </c>
      <c r="P832" t="str">
        <f>HYPERLINK("https://www.facebook.com/264234810584424")</f>
        <v>https://www.facebook.com/264234810584424</v>
      </c>
      <c r="Q832">
        <v>559985</v>
      </c>
      <c r="R832" t="s">
        <v>32</v>
      </c>
      <c r="S832" t="s">
        <v>33</v>
      </c>
      <c r="T832" t="s">
        <v>240</v>
      </c>
      <c r="U832" t="s">
        <v>1490</v>
      </c>
      <c r="V832" t="s">
        <v>1491</v>
      </c>
    </row>
    <row r="833" spans="1:22" ht="16">
      <c r="A833" t="s">
        <v>2300</v>
      </c>
      <c r="B833" t="s">
        <v>2447</v>
      </c>
      <c r="C833" t="s">
        <v>80</v>
      </c>
      <c r="D833" t="s">
        <v>2451</v>
      </c>
      <c r="E833" t="s">
        <v>74</v>
      </c>
      <c r="F833" t="s">
        <v>3</v>
      </c>
      <c r="G833" t="str">
        <f>HYPERLINK("https://www.facebook.com/westukrnews/posts/pfbid05KpJzZfAmc7DG6HMNPojmy3FDtYQBjx33JCcksAdDUDGcWNSDnn66BSqDiowXeWol?comment_id=1440906590778649")</f>
        <v>https://www.facebook.com/westukrnews/posts/pfbid05KpJzZfAmc7DG6HMNPojmy3FDtYQBjx33JCcksAdDUDGcWNSDnn66BSqDiowXeWol?comment_id=1440906590778649</v>
      </c>
      <c r="H833" t="s">
        <v>28</v>
      </c>
      <c r="I833" t="s">
        <v>2452</v>
      </c>
      <c r="K833" t="str">
        <f>HYPERLINK("https://www.facebook.com/100052702620572")</f>
        <v>https://www.facebook.com/100052702620572</v>
      </c>
      <c r="M833" t="s">
        <v>30</v>
      </c>
      <c r="N833" t="s">
        <v>31</v>
      </c>
      <c r="O833" t="s">
        <v>813</v>
      </c>
      <c r="P833" t="str">
        <f>HYPERLINK("https://www.facebook.com/264234810584424")</f>
        <v>https://www.facebook.com/264234810584424</v>
      </c>
      <c r="Q833">
        <v>559985</v>
      </c>
      <c r="R833" t="s">
        <v>32</v>
      </c>
      <c r="S833" t="s">
        <v>85</v>
      </c>
      <c r="T833" t="s">
        <v>34</v>
      </c>
      <c r="U833" t="s">
        <v>487</v>
      </c>
      <c r="V833" t="s">
        <v>814</v>
      </c>
    </row>
    <row r="834" spans="1:19" ht="16">
      <c r="A834" t="s">
        <v>2300</v>
      </c>
      <c r="B834" t="s">
        <v>2453</v>
      </c>
      <c r="C834" t="s">
        <v>24</v>
      </c>
      <c r="D834" t="s">
        <v>2454</v>
      </c>
      <c r="E834" t="s">
        <v>101</v>
      </c>
      <c r="F834" t="s">
        <v>46</v>
      </c>
      <c r="G834" t="str">
        <f>HYPERLINK("https://www.facebook.com/122167637120799340")</f>
        <v>https://www.facebook.com/122167637120799340</v>
      </c>
      <c r="H834" t="s">
        <v>28</v>
      </c>
      <c r="I834" t="s">
        <v>2455</v>
      </c>
      <c r="K834" t="str">
        <f>HYPERLINK("https://www.facebook.com/61573980210015")</f>
        <v>https://www.facebook.com/61573980210015</v>
      </c>
      <c r="M834" t="s">
        <v>40</v>
      </c>
      <c r="N834" t="s">
        <v>31</v>
      </c>
      <c r="O834" t="s">
        <v>2455</v>
      </c>
      <c r="P834" t="str">
        <f>HYPERLINK("https://www.facebook.com/61573980210015")</f>
        <v>https://www.facebook.com/61573980210015</v>
      </c>
      <c r="R834" t="s">
        <v>32</v>
      </c>
      <c r="S834" t="s">
        <v>33</v>
      </c>
    </row>
    <row r="835" spans="1:20" ht="16">
      <c r="A835" t="s">
        <v>2300</v>
      </c>
      <c r="B835" t="s">
        <v>2456</v>
      </c>
      <c r="C835" t="s">
        <v>24</v>
      </c>
      <c r="D835" t="s">
        <v>2276</v>
      </c>
      <c r="E835" t="s">
        <v>45</v>
      </c>
      <c r="F835" t="s">
        <v>3</v>
      </c>
      <c r="G835" t="str">
        <f>HYPERLINK("https://twitter.com/colombian_TIE/status/2027487093644042692")</f>
        <v>https://twitter.com/colombian_TIE/status/2027487093644042692</v>
      </c>
      <c r="H835" t="s">
        <v>28</v>
      </c>
      <c r="I835" t="s">
        <v>2457</v>
      </c>
      <c r="J835" t="s">
        <v>2458</v>
      </c>
      <c r="K835" t="str">
        <f>HYPERLINK("http://twitter.com/colombian_TIE")</f>
        <v>http://twitter.com/colombian_TIE</v>
      </c>
      <c r="L835">
        <v>625</v>
      </c>
      <c r="N835" t="s">
        <v>278</v>
      </c>
      <c r="R835" t="s">
        <v>32</v>
      </c>
      <c r="S835" t="s">
        <v>33</v>
      </c>
      <c r="T835" t="s">
        <v>199</v>
      </c>
    </row>
    <row r="836" spans="1:20" ht="16">
      <c r="A836" t="s">
        <v>2300</v>
      </c>
      <c r="B836" t="s">
        <v>2459</v>
      </c>
      <c r="C836" t="s">
        <v>24</v>
      </c>
      <c r="D836" t="s">
        <v>2007</v>
      </c>
      <c r="E836" t="s">
        <v>45</v>
      </c>
      <c r="F836" t="s">
        <v>281</v>
      </c>
      <c r="G836" t="str">
        <f>HYPERLINK("https://twitter.com/Vadym37810881/status/2027486876483911959")</f>
        <v>https://twitter.com/Vadym37810881/status/2027486876483911959</v>
      </c>
      <c r="H836" t="s">
        <v>28</v>
      </c>
      <c r="I836" t="s">
        <v>2460</v>
      </c>
      <c r="J836" t="s">
        <v>2461</v>
      </c>
      <c r="K836" t="str">
        <f>HYPERLINK("http://twitter.com/Vadym37810881")</f>
        <v>http://twitter.com/Vadym37810881</v>
      </c>
      <c r="L836">
        <v>19</v>
      </c>
      <c r="M836" t="s">
        <v>40</v>
      </c>
      <c r="N836" t="s">
        <v>278</v>
      </c>
      <c r="R836" t="s">
        <v>32</v>
      </c>
      <c r="S836" t="s">
        <v>33</v>
      </c>
      <c r="T836" t="s">
        <v>34</v>
      </c>
    </row>
    <row r="837" spans="1:22" ht="16">
      <c r="A837" t="s">
        <v>2300</v>
      </c>
      <c r="B837" t="s">
        <v>2459</v>
      </c>
      <c r="C837" t="s">
        <v>80</v>
      </c>
      <c r="D837" t="s">
        <v>2462</v>
      </c>
      <c r="E837" t="s">
        <v>74</v>
      </c>
      <c r="F837" t="s">
        <v>3</v>
      </c>
      <c r="G837" t="str">
        <f>HYPERLINK("https://www.facebook.com/westukrnews/posts/pfbid05KpJzZfAmc7DG6HMNPojmy3FDtYQBjx33JCcksAdDUDGcWNSDnn66BSqDiowXeWol?comment_id=1803934890274672")</f>
        <v>https://www.facebook.com/westukrnews/posts/pfbid05KpJzZfAmc7DG6HMNPojmy3FDtYQBjx33JCcksAdDUDGcWNSDnn66BSqDiowXeWol?comment_id=1803934890274672</v>
      </c>
      <c r="H837" t="s">
        <v>28</v>
      </c>
      <c r="I837" t="s">
        <v>2463</v>
      </c>
      <c r="K837" t="str">
        <f>HYPERLINK("https://www.facebook.com/100044421672383")</f>
        <v>https://www.facebook.com/100044421672383</v>
      </c>
      <c r="M837" t="s">
        <v>30</v>
      </c>
      <c r="N837" t="s">
        <v>31</v>
      </c>
      <c r="O837" t="s">
        <v>813</v>
      </c>
      <c r="P837" t="str">
        <f>HYPERLINK("https://www.facebook.com/264234810584424")</f>
        <v>https://www.facebook.com/264234810584424</v>
      </c>
      <c r="Q837">
        <v>559985</v>
      </c>
      <c r="R837" t="s">
        <v>32</v>
      </c>
      <c r="S837" t="s">
        <v>33</v>
      </c>
      <c r="T837" t="s">
        <v>34</v>
      </c>
      <c r="U837" t="s">
        <v>41</v>
      </c>
      <c r="V837" t="s">
        <v>42</v>
      </c>
    </row>
    <row r="838" spans="1:22" ht="16">
      <c r="A838" t="s">
        <v>2300</v>
      </c>
      <c r="B838" t="s">
        <v>2464</v>
      </c>
      <c r="C838" t="s">
        <v>80</v>
      </c>
      <c r="D838" t="s">
        <v>2465</v>
      </c>
      <c r="E838" t="s">
        <v>74</v>
      </c>
      <c r="F838" t="s">
        <v>3</v>
      </c>
      <c r="G838" t="str">
        <f>HYPERLINK("https://www.facebook.com/permalink.php?story_fbid=pfbid02rbt51TUb57HR4F6gBd5FwSTuyaUp3gHvM6gsAExHboTPbUq2FdNvTKt3sBpRB8pml&amp;id=100006975138432&amp;comment_id=1597827351525264")</f>
        <v>https://www.facebook.com/permalink.php?story_fbid=pfbid02rbt51TUb57HR4F6gBd5FwSTuyaUp3gHvM6gsAExHboTPbUq2FdNvTKt3sBpRB8pml&amp;id=100006975138432&amp;comment_id=1597827351525264</v>
      </c>
      <c r="H838" t="s">
        <v>28</v>
      </c>
      <c r="I838" t="s">
        <v>2466</v>
      </c>
      <c r="K838" t="str">
        <f>HYPERLINK("https://www.facebook.com/100025221125693")</f>
        <v>https://www.facebook.com/100025221125693</v>
      </c>
      <c r="M838" t="s">
        <v>40</v>
      </c>
      <c r="N838" t="s">
        <v>31</v>
      </c>
      <c r="O838" t="s">
        <v>1399</v>
      </c>
      <c r="P838" t="str">
        <f>HYPERLINK("https://www.facebook.com/100006975138432")</f>
        <v>https://www.facebook.com/100006975138432</v>
      </c>
      <c r="R838" t="s">
        <v>32</v>
      </c>
      <c r="S838" t="s">
        <v>85</v>
      </c>
      <c r="T838" t="s">
        <v>34</v>
      </c>
      <c r="U838" t="s">
        <v>58</v>
      </c>
      <c r="V838" t="s">
        <v>58</v>
      </c>
    </row>
    <row r="839" spans="1:22" ht="16">
      <c r="A839" t="s">
        <v>2300</v>
      </c>
      <c r="B839" t="s">
        <v>999</v>
      </c>
      <c r="C839" t="s">
        <v>805</v>
      </c>
      <c r="D839" t="s">
        <v>2467</v>
      </c>
      <c r="E839" t="s">
        <v>74</v>
      </c>
      <c r="F839" t="s">
        <v>3</v>
      </c>
      <c r="G839" t="str">
        <f>HYPERLINK("https://www.facebook.com/permalink.php?story_fbid=pfbid02AWMysZ4ytZBqbPfPuESEaixs2ccSYuJBM6dpDuL2MHTawEC7Yk9CNtHeH9BUUNxrl&amp;id=100063787020118&amp;comment_id=1233005229043248")</f>
        <v>https://www.facebook.com/permalink.php?story_fbid=pfbid02AWMysZ4ytZBqbPfPuESEaixs2ccSYuJBM6dpDuL2MHTawEC7Yk9CNtHeH9BUUNxrl&amp;id=100063787020118&amp;comment_id=1233005229043248</v>
      </c>
      <c r="H839" t="s">
        <v>28</v>
      </c>
      <c r="I839" t="s">
        <v>2468</v>
      </c>
      <c r="K839" t="str">
        <f>HYPERLINK("https://www.facebook.com/100022343555680")</f>
        <v>https://www.facebook.com/100022343555680</v>
      </c>
      <c r="M839" t="s">
        <v>40</v>
      </c>
      <c r="N839" t="s">
        <v>31</v>
      </c>
      <c r="O839" t="s">
        <v>807</v>
      </c>
      <c r="P839" t="str">
        <f>HYPERLINK("https://www.facebook.com/147172468676437")</f>
        <v>https://www.facebook.com/147172468676437</v>
      </c>
      <c r="Q839">
        <v>84926</v>
      </c>
      <c r="R839" t="s">
        <v>32</v>
      </c>
      <c r="S839" t="s">
        <v>33</v>
      </c>
      <c r="T839" t="s">
        <v>86</v>
      </c>
      <c r="U839" t="s">
        <v>1904</v>
      </c>
      <c r="V839" t="s">
        <v>2469</v>
      </c>
    </row>
    <row r="840" spans="1:22" ht="16">
      <c r="A840" t="s">
        <v>2300</v>
      </c>
      <c r="B840" t="s">
        <v>999</v>
      </c>
      <c r="C840" t="s">
        <v>768</v>
      </c>
      <c r="D840" t="s">
        <v>2470</v>
      </c>
      <c r="E840" t="s">
        <v>74</v>
      </c>
      <c r="F840" t="s">
        <v>3</v>
      </c>
      <c r="G840" t="str">
        <f>HYPERLINK("https://www.facebook.com/toyelviv/posts/pfbid02HyVHmdRrHaKvpJCV4k8sSATEQmB44tvrgpepSrJQ66Qs74jVAzPQ6qaz5ZMHUoNBl?comment_id=1426245898986098")</f>
        <v>https://www.facebook.com/toyelviv/posts/pfbid02HyVHmdRrHaKvpJCV4k8sSATEQmB44tvrgpepSrJQ66Qs74jVAzPQ6qaz5ZMHUoNBl?comment_id=1426245898986098</v>
      </c>
      <c r="H840" t="s">
        <v>28</v>
      </c>
      <c r="I840" t="s">
        <v>2471</v>
      </c>
      <c r="K840" t="str">
        <f>HYPERLINK("https://www.facebook.com/100008954533233")</f>
        <v>https://www.facebook.com/100008954533233</v>
      </c>
      <c r="M840" t="s">
        <v>30</v>
      </c>
      <c r="N840" t="s">
        <v>31</v>
      </c>
      <c r="O840" t="s">
        <v>1559</v>
      </c>
      <c r="P840" t="str">
        <f>HYPERLINK("https://www.facebook.com/320892981422193")</f>
        <v>https://www.facebook.com/320892981422193</v>
      </c>
      <c r="Q840">
        <v>293869</v>
      </c>
      <c r="R840" t="s">
        <v>32</v>
      </c>
      <c r="S840" t="s">
        <v>33</v>
      </c>
      <c r="T840" t="s">
        <v>34</v>
      </c>
      <c r="U840" t="s">
        <v>41</v>
      </c>
      <c r="V840" t="s">
        <v>42</v>
      </c>
    </row>
    <row r="841" spans="1:22" ht="16">
      <c r="A841" t="s">
        <v>2300</v>
      </c>
      <c r="B841" t="s">
        <v>999</v>
      </c>
      <c r="C841" t="s">
        <v>768</v>
      </c>
      <c r="D841" t="s">
        <v>2472</v>
      </c>
      <c r="E841" t="s">
        <v>74</v>
      </c>
      <c r="F841" t="s">
        <v>3</v>
      </c>
      <c r="G841" t="str">
        <f>HYPERLINK("https://www.facebook.com/toyelviv/posts/pfbid02HyVHmdRrHaKvpJCV4k8sSATEQmB44tvrgpepSrJQ66Qs74jVAzPQ6qaz5ZMHUoNBl?comment_id=3314459892057230")</f>
        <v>https://www.facebook.com/toyelviv/posts/pfbid02HyVHmdRrHaKvpJCV4k8sSATEQmB44tvrgpepSrJQ66Qs74jVAzPQ6qaz5ZMHUoNBl?comment_id=3314459892057230</v>
      </c>
      <c r="H841" t="s">
        <v>28</v>
      </c>
      <c r="I841" t="s">
        <v>2473</v>
      </c>
      <c r="J841" t="s">
        <v>2474</v>
      </c>
      <c r="K841" t="str">
        <f>HYPERLINK("https://www.facebook.com/100014168311674")</f>
        <v>https://www.facebook.com/100014168311674</v>
      </c>
      <c r="M841" t="s">
        <v>30</v>
      </c>
      <c r="N841" t="s">
        <v>31</v>
      </c>
      <c r="O841" t="s">
        <v>1559</v>
      </c>
      <c r="P841" t="str">
        <f>HYPERLINK("https://www.facebook.com/320892981422193")</f>
        <v>https://www.facebook.com/320892981422193</v>
      </c>
      <c r="Q841">
        <v>293869</v>
      </c>
      <c r="R841" t="s">
        <v>32</v>
      </c>
      <c r="S841" t="s">
        <v>85</v>
      </c>
      <c r="T841" t="s">
        <v>34</v>
      </c>
      <c r="U841" t="s">
        <v>41</v>
      </c>
      <c r="V841" t="s">
        <v>42</v>
      </c>
    </row>
    <row r="842" spans="1:21" ht="16">
      <c r="A842" t="s">
        <v>2300</v>
      </c>
      <c r="B842" t="s">
        <v>129</v>
      </c>
      <c r="C842" t="s">
        <v>80</v>
      </c>
      <c r="D842" t="s">
        <v>2475</v>
      </c>
      <c r="E842" t="s">
        <v>74</v>
      </c>
      <c r="F842" t="s">
        <v>3</v>
      </c>
      <c r="G842" t="str">
        <f>HYPERLINK("https://www.facebook.com/permalink.php?story_fbid=pfbid02pjSDtD2PCdmxjdtt43zQjo8a7vCAX6dYjgtpfrEgWHmT6B8Gd8DK5i46LRLRzRNzl&amp;id=100090843379637&amp;comment_id=2078372296280235")</f>
        <v>https://www.facebook.com/permalink.php?story_fbid=pfbid02pjSDtD2PCdmxjdtt43zQjo8a7vCAX6dYjgtpfrEgWHmT6B8Gd8DK5i46LRLRzRNzl&amp;id=100090843379637&amp;comment_id=2078372296280235</v>
      </c>
      <c r="H842" t="s">
        <v>28</v>
      </c>
      <c r="I842" t="s">
        <v>2476</v>
      </c>
      <c r="K842" t="str">
        <f>HYPERLINK("https://www.facebook.com/100042435982433")</f>
        <v>https://www.facebook.com/100042435982433</v>
      </c>
      <c r="L842">
        <v>248</v>
      </c>
      <c r="M842" t="s">
        <v>40</v>
      </c>
      <c r="N842" t="s">
        <v>31</v>
      </c>
      <c r="O842" t="s">
        <v>876</v>
      </c>
      <c r="P842" t="str">
        <f>HYPERLINK("https://www.facebook.com/100090843379637")</f>
        <v>https://www.facebook.com/100090843379637</v>
      </c>
      <c r="R842" t="s">
        <v>32</v>
      </c>
      <c r="S842" t="s">
        <v>33</v>
      </c>
      <c r="T842" t="s">
        <v>34</v>
      </c>
      <c r="U842" t="s">
        <v>309</v>
      </c>
    </row>
    <row r="843" spans="1:22" ht="16">
      <c r="A843" t="s">
        <v>2300</v>
      </c>
      <c r="B843" t="s">
        <v>129</v>
      </c>
      <c r="C843" t="s">
        <v>24</v>
      </c>
      <c r="D843" t="s">
        <v>1381</v>
      </c>
      <c r="E843" t="s">
        <v>45</v>
      </c>
      <c r="F843" t="s">
        <v>55</v>
      </c>
      <c r="G843" t="str">
        <f>HYPERLINK("https://www.facebook.com/2165301487549901")</f>
        <v>https://www.facebook.com/2165301487549901</v>
      </c>
      <c r="H843" t="s">
        <v>28</v>
      </c>
      <c r="I843" t="s">
        <v>2477</v>
      </c>
      <c r="J843" t="s">
        <v>2478</v>
      </c>
      <c r="K843" t="str">
        <f>HYPERLINK("https://www.facebook.com/100022102110851")</f>
        <v>https://www.facebook.com/100022102110851</v>
      </c>
      <c r="M843" t="s">
        <v>30</v>
      </c>
      <c r="N843" t="s">
        <v>31</v>
      </c>
      <c r="O843" t="s">
        <v>2477</v>
      </c>
      <c r="P843" t="str">
        <f>HYPERLINK("https://www.facebook.com/100022102110851")</f>
        <v>https://www.facebook.com/100022102110851</v>
      </c>
      <c r="R843" t="s">
        <v>32</v>
      </c>
      <c r="S843" t="s">
        <v>33</v>
      </c>
      <c r="T843" t="s">
        <v>34</v>
      </c>
      <c r="U843" t="s">
        <v>487</v>
      </c>
      <c r="V843" t="s">
        <v>2479</v>
      </c>
    </row>
    <row r="844" spans="1:20" ht="16">
      <c r="A844" t="s">
        <v>2300</v>
      </c>
      <c r="B844" t="s">
        <v>129</v>
      </c>
      <c r="C844" t="s">
        <v>24</v>
      </c>
      <c r="D844" t="s">
        <v>2276</v>
      </c>
      <c r="E844" t="s">
        <v>45</v>
      </c>
      <c r="F844" t="s">
        <v>3</v>
      </c>
      <c r="G844" t="str">
        <f>HYPERLINK("https://twitter.com/Vadym37810881/status/2027485497895899277")</f>
        <v>https://twitter.com/Vadym37810881/status/2027485497895899277</v>
      </c>
      <c r="H844" t="s">
        <v>28</v>
      </c>
      <c r="I844" t="s">
        <v>2460</v>
      </c>
      <c r="J844" t="s">
        <v>2461</v>
      </c>
      <c r="K844" t="str">
        <f>HYPERLINK("http://twitter.com/Vadym37810881")</f>
        <v>http://twitter.com/Vadym37810881</v>
      </c>
      <c r="L844">
        <v>19</v>
      </c>
      <c r="M844" t="s">
        <v>40</v>
      </c>
      <c r="N844" t="s">
        <v>278</v>
      </c>
      <c r="R844" t="s">
        <v>32</v>
      </c>
      <c r="S844" t="s">
        <v>33</v>
      </c>
      <c r="T844" t="s">
        <v>34</v>
      </c>
    </row>
    <row r="845" spans="1:19" ht="16">
      <c r="A845" t="s">
        <v>2300</v>
      </c>
      <c r="B845" t="s">
        <v>2480</v>
      </c>
      <c r="C845" t="s">
        <v>24</v>
      </c>
      <c r="D845" t="s">
        <v>254</v>
      </c>
      <c r="E845" t="s">
        <v>45</v>
      </c>
      <c r="F845" t="s">
        <v>46</v>
      </c>
      <c r="G845" t="str">
        <f>HYPERLINK("https://www.facebook.com/1626559842101866")</f>
        <v>https://www.facebook.com/1626559842101866</v>
      </c>
      <c r="H845" t="s">
        <v>28</v>
      </c>
      <c r="I845" t="s">
        <v>2476</v>
      </c>
      <c r="K845" t="str">
        <f>HYPERLINK("https://www.facebook.com/100042435982433")</f>
        <v>https://www.facebook.com/100042435982433</v>
      </c>
      <c r="L845">
        <v>248</v>
      </c>
      <c r="M845" t="s">
        <v>40</v>
      </c>
      <c r="N845" t="s">
        <v>31</v>
      </c>
      <c r="O845" t="s">
        <v>2476</v>
      </c>
      <c r="P845" t="str">
        <f>HYPERLINK("https://www.facebook.com/100042435982433")</f>
        <v>https://www.facebook.com/100042435982433</v>
      </c>
      <c r="Q845">
        <v>248</v>
      </c>
      <c r="R845" t="s">
        <v>32</v>
      </c>
      <c r="S845" t="s">
        <v>33</v>
      </c>
    </row>
    <row r="846" spans="1:22" ht="16">
      <c r="A846" t="s">
        <v>2300</v>
      </c>
      <c r="B846" t="s">
        <v>2481</v>
      </c>
      <c r="C846" t="s">
        <v>24</v>
      </c>
      <c r="D846" t="s">
        <v>2007</v>
      </c>
      <c r="E846" t="s">
        <v>45</v>
      </c>
      <c r="F846" t="s">
        <v>281</v>
      </c>
      <c r="G846" t="str">
        <f>HYPERLINK("https://twitter.com/rsprokhorov/status/2027484645089042925")</f>
        <v>https://twitter.com/rsprokhorov/status/2027484645089042925</v>
      </c>
      <c r="H846" t="s">
        <v>28</v>
      </c>
      <c r="I846" t="s">
        <v>2482</v>
      </c>
      <c r="J846" t="s">
        <v>2483</v>
      </c>
      <c r="K846" t="str">
        <f>HYPERLINK("http://twitter.com/rsprokhorov")</f>
        <v>http://twitter.com/rsprokhorov</v>
      </c>
      <c r="L846">
        <v>574</v>
      </c>
      <c r="M846" t="s">
        <v>40</v>
      </c>
      <c r="N846" t="s">
        <v>278</v>
      </c>
      <c r="R846" t="s">
        <v>32</v>
      </c>
      <c r="S846" t="s">
        <v>33</v>
      </c>
      <c r="T846" t="s">
        <v>34</v>
      </c>
      <c r="U846" t="s">
        <v>235</v>
      </c>
      <c r="V846" t="s">
        <v>236</v>
      </c>
    </row>
    <row r="847" spans="1:20" ht="16">
      <c r="A847" t="s">
        <v>2300</v>
      </c>
      <c r="B847" t="s">
        <v>2484</v>
      </c>
      <c r="C847" t="s">
        <v>24</v>
      </c>
      <c r="D847" t="s">
        <v>2485</v>
      </c>
      <c r="E847" t="s">
        <v>26</v>
      </c>
      <c r="F847" t="s">
        <v>2404</v>
      </c>
      <c r="G847" t="str">
        <f>HYPERLINK("https://twitter.com/antikorua/status/2027484581809532936")</f>
        <v>https://twitter.com/antikorua/status/2027484581809532936</v>
      </c>
      <c r="H847" t="s">
        <v>28</v>
      </c>
      <c r="I847" t="s">
        <v>2486</v>
      </c>
      <c r="J847" t="s">
        <v>2487</v>
      </c>
      <c r="K847" t="str">
        <f>HYPERLINK("http://twitter.com/antikorua")</f>
        <v>http://twitter.com/antikorua</v>
      </c>
      <c r="L847">
        <v>25708</v>
      </c>
      <c r="N847" t="s">
        <v>278</v>
      </c>
      <c r="R847" t="s">
        <v>32</v>
      </c>
      <c r="S847" t="s">
        <v>33</v>
      </c>
      <c r="T847" t="s">
        <v>1174</v>
      </c>
    </row>
    <row r="848" spans="1:22" ht="16">
      <c r="A848" t="s">
        <v>2300</v>
      </c>
      <c r="B848" t="s">
        <v>2484</v>
      </c>
      <c r="C848" t="s">
        <v>24</v>
      </c>
      <c r="D848" t="s">
        <v>2007</v>
      </c>
      <c r="E848" t="s">
        <v>45</v>
      </c>
      <c r="F848" t="s">
        <v>281</v>
      </c>
      <c r="G848" t="str">
        <f>HYPERLINK("https://twitter.com/5081973/status/2027484411499864103")</f>
        <v>https://twitter.com/5081973/status/2027484411499864103</v>
      </c>
      <c r="H848" t="s">
        <v>28</v>
      </c>
      <c r="I848" t="s">
        <v>2488</v>
      </c>
      <c r="J848" t="s">
        <v>2489</v>
      </c>
      <c r="K848" t="str">
        <f>HYPERLINK("http://twitter.com/5081973")</f>
        <v>http://twitter.com/5081973</v>
      </c>
      <c r="L848">
        <v>35</v>
      </c>
      <c r="M848" t="s">
        <v>30</v>
      </c>
      <c r="N848" t="s">
        <v>278</v>
      </c>
      <c r="R848" t="s">
        <v>32</v>
      </c>
      <c r="S848" t="s">
        <v>33</v>
      </c>
      <c r="T848" t="s">
        <v>34</v>
      </c>
      <c r="U848" t="s">
        <v>58</v>
      </c>
      <c r="V848" t="s">
        <v>58</v>
      </c>
    </row>
    <row r="849" spans="1:19" ht="16">
      <c r="A849" t="s">
        <v>2300</v>
      </c>
      <c r="B849" t="s">
        <v>133</v>
      </c>
      <c r="C849" t="s">
        <v>24</v>
      </c>
      <c r="D849" t="s">
        <v>824</v>
      </c>
      <c r="E849" t="s">
        <v>45</v>
      </c>
      <c r="F849" t="s">
        <v>46</v>
      </c>
      <c r="G849" t="str">
        <f>HYPERLINK("https://www.facebook.com/2738857786470283")</f>
        <v>https://www.facebook.com/2738857786470283</v>
      </c>
      <c r="H849" t="s">
        <v>28</v>
      </c>
      <c r="I849" t="s">
        <v>2490</v>
      </c>
      <c r="K849" t="str">
        <f>HYPERLINK("https://www.facebook.com/100010382642268")</f>
        <v>https://www.facebook.com/100010382642268</v>
      </c>
      <c r="M849" t="s">
        <v>40</v>
      </c>
      <c r="N849" t="s">
        <v>31</v>
      </c>
      <c r="O849" t="s">
        <v>2490</v>
      </c>
      <c r="P849" t="str">
        <f>HYPERLINK("https://www.facebook.com/100010382642268")</f>
        <v>https://www.facebook.com/100010382642268</v>
      </c>
      <c r="R849" t="s">
        <v>32</v>
      </c>
      <c r="S849" t="s">
        <v>33</v>
      </c>
    </row>
    <row r="850" spans="1:22" ht="16">
      <c r="A850" t="s">
        <v>2300</v>
      </c>
      <c r="B850" t="s">
        <v>133</v>
      </c>
      <c r="C850" t="s">
        <v>768</v>
      </c>
      <c r="D850" t="s">
        <v>2491</v>
      </c>
      <c r="E850" t="s">
        <v>74</v>
      </c>
      <c r="F850" t="s">
        <v>3</v>
      </c>
      <c r="G850" t="str">
        <f>HYPERLINK("https://www.facebook.com/toyelviv/posts/pfbid02HyVHmdRrHaKvpJCV4k8sSATEQmB44tvrgpepSrJQ66Qs74jVAzPQ6qaz5ZMHUoNBl?comment_id=2119859135480466")</f>
        <v>https://www.facebook.com/toyelviv/posts/pfbid02HyVHmdRrHaKvpJCV4k8sSATEQmB44tvrgpepSrJQ66Qs74jVAzPQ6qaz5ZMHUoNBl?comment_id=2119859135480466</v>
      </c>
      <c r="H850" t="s">
        <v>28</v>
      </c>
      <c r="I850" t="s">
        <v>2492</v>
      </c>
      <c r="K850" t="str">
        <f>HYPERLINK("https://www.facebook.com/100011378616980")</f>
        <v>https://www.facebook.com/100011378616980</v>
      </c>
      <c r="M850" t="s">
        <v>30</v>
      </c>
      <c r="N850" t="s">
        <v>31</v>
      </c>
      <c r="O850" t="s">
        <v>1559</v>
      </c>
      <c r="P850" t="str">
        <f>HYPERLINK("https://www.facebook.com/320892981422193")</f>
        <v>https://www.facebook.com/320892981422193</v>
      </c>
      <c r="Q850">
        <v>293869</v>
      </c>
      <c r="R850" t="s">
        <v>32</v>
      </c>
      <c r="S850" t="s">
        <v>85</v>
      </c>
      <c r="T850" t="s">
        <v>34</v>
      </c>
      <c r="U850" t="s">
        <v>41</v>
      </c>
      <c r="V850" t="s">
        <v>2493</v>
      </c>
    </row>
    <row r="851" spans="1:22" ht="16">
      <c r="A851" t="s">
        <v>2300</v>
      </c>
      <c r="B851" t="s">
        <v>2494</v>
      </c>
      <c r="C851" t="s">
        <v>768</v>
      </c>
      <c r="D851" t="s">
        <v>2495</v>
      </c>
      <c r="E851" t="s">
        <v>74</v>
      </c>
      <c r="F851" t="s">
        <v>3</v>
      </c>
      <c r="G851" t="str">
        <f>HYPERLINK("https://www.facebook.com/toyelviv/posts/pfbid02HyVHmdRrHaKvpJCV4k8sSATEQmB44tvrgpepSrJQ66Qs74jVAzPQ6qaz5ZMHUoNBl?comment_id=1986481118879740")</f>
        <v>https://www.facebook.com/toyelviv/posts/pfbid02HyVHmdRrHaKvpJCV4k8sSATEQmB44tvrgpepSrJQ66Qs74jVAzPQ6qaz5ZMHUoNBl?comment_id=1986481118879740</v>
      </c>
      <c r="H851" t="s">
        <v>28</v>
      </c>
      <c r="I851" t="s">
        <v>2496</v>
      </c>
      <c r="K851" t="str">
        <f>HYPERLINK("https://www.facebook.com/100012272919250")</f>
        <v>https://www.facebook.com/100012272919250</v>
      </c>
      <c r="M851" t="s">
        <v>30</v>
      </c>
      <c r="N851" t="s">
        <v>31</v>
      </c>
      <c r="O851" t="s">
        <v>1559</v>
      </c>
      <c r="P851" t="str">
        <f>HYPERLINK("https://www.facebook.com/320892981422193")</f>
        <v>https://www.facebook.com/320892981422193</v>
      </c>
      <c r="Q851">
        <v>293869</v>
      </c>
      <c r="R851" t="s">
        <v>32</v>
      </c>
      <c r="S851" t="s">
        <v>33</v>
      </c>
      <c r="T851" t="s">
        <v>34</v>
      </c>
      <c r="U851" t="s">
        <v>41</v>
      </c>
      <c r="V851" t="s">
        <v>42</v>
      </c>
    </row>
    <row r="852" spans="1:22" ht="16">
      <c r="A852" t="s">
        <v>2300</v>
      </c>
      <c r="B852" t="s">
        <v>2494</v>
      </c>
      <c r="C852" t="s">
        <v>24</v>
      </c>
      <c r="D852" t="s">
        <v>2497</v>
      </c>
      <c r="E852" t="s">
        <v>45</v>
      </c>
      <c r="F852" t="s">
        <v>46</v>
      </c>
      <c r="G852" t="str">
        <f>HYPERLINK("https://www.facebook.com/26223382910620441")</f>
        <v>https://www.facebook.com/26223382910620441</v>
      </c>
      <c r="H852" t="s">
        <v>28</v>
      </c>
      <c r="I852" t="s">
        <v>2498</v>
      </c>
      <c r="J852" t="s">
        <v>2499</v>
      </c>
      <c r="K852" t="str">
        <f>HYPERLINK("https://www.facebook.com/100001262671198")</f>
        <v>https://www.facebook.com/100001262671198</v>
      </c>
      <c r="M852" t="s">
        <v>40</v>
      </c>
      <c r="N852" t="s">
        <v>31</v>
      </c>
      <c r="O852" t="s">
        <v>2498</v>
      </c>
      <c r="P852" t="str">
        <f>HYPERLINK("https://www.facebook.com/100001262671198")</f>
        <v>https://www.facebook.com/100001262671198</v>
      </c>
      <c r="R852" t="s">
        <v>32</v>
      </c>
      <c r="S852" t="s">
        <v>33</v>
      </c>
      <c r="T852" t="s">
        <v>34</v>
      </c>
      <c r="U852" t="s">
        <v>158</v>
      </c>
      <c r="V852" t="s">
        <v>159</v>
      </c>
    </row>
    <row r="853" spans="1:22" ht="16">
      <c r="A853" t="s">
        <v>2300</v>
      </c>
      <c r="B853" t="s">
        <v>2494</v>
      </c>
      <c r="C853" t="s">
        <v>72</v>
      </c>
      <c r="D853" t="s">
        <v>2500</v>
      </c>
      <c r="E853" t="s">
        <v>74</v>
      </c>
      <c r="F853" t="s">
        <v>3</v>
      </c>
      <c r="G853" t="str">
        <f>HYPERLINK("https://www.facebook.com/antonov.vs/posts/pfbid0WoDA925DuzoodzbS7V28bt4ds9TmfsHEXjvxieTXWzQ3cuc53piJ6r5PvYjhKEdjl?comment_id=4341025039477273")</f>
        <v>https://www.facebook.com/antonov.vs/posts/pfbid0WoDA925DuzoodzbS7V28bt4ds9TmfsHEXjvxieTXWzQ3cuc53piJ6r5PvYjhKEdjl?comment_id=4341025039477273</v>
      </c>
      <c r="H853" t="s">
        <v>28</v>
      </c>
      <c r="I853" t="s">
        <v>2501</v>
      </c>
      <c r="K853" t="str">
        <f>HYPERLINK("https://www.facebook.com/100057161767056")</f>
        <v>https://www.facebook.com/100057161767056</v>
      </c>
      <c r="M853" t="s">
        <v>30</v>
      </c>
      <c r="N853" t="s">
        <v>31</v>
      </c>
      <c r="O853" t="s">
        <v>1127</v>
      </c>
      <c r="P853" t="str">
        <f>HYPERLINK("https://www.facebook.com/100002292546539")</f>
        <v>https://www.facebook.com/100002292546539</v>
      </c>
      <c r="Q853">
        <v>485</v>
      </c>
      <c r="R853" t="s">
        <v>32</v>
      </c>
      <c r="S853" t="s">
        <v>33</v>
      </c>
      <c r="T853" t="s">
        <v>34</v>
      </c>
      <c r="U853" t="s">
        <v>1308</v>
      </c>
      <c r="V853" t="s">
        <v>1309</v>
      </c>
    </row>
    <row r="854" spans="1:22" ht="16">
      <c r="A854" t="s">
        <v>2300</v>
      </c>
      <c r="B854" t="s">
        <v>1005</v>
      </c>
      <c r="C854" t="s">
        <v>24</v>
      </c>
      <c r="D854" t="s">
        <v>2502</v>
      </c>
      <c r="E854" t="s">
        <v>26</v>
      </c>
      <c r="F854" t="s">
        <v>27</v>
      </c>
      <c r="G854" t="str">
        <f>HYPERLINK("https://www.facebook.com/2432954040482371")</f>
        <v>https://www.facebook.com/2432954040482371</v>
      </c>
      <c r="H854" t="s">
        <v>28</v>
      </c>
      <c r="I854" t="s">
        <v>2503</v>
      </c>
      <c r="K854" t="str">
        <f>HYPERLINK("https://www.facebook.com/100017241047340")</f>
        <v>https://www.facebook.com/100017241047340</v>
      </c>
      <c r="M854" t="s">
        <v>40</v>
      </c>
      <c r="N854" t="s">
        <v>31</v>
      </c>
      <c r="O854" t="s">
        <v>2504</v>
      </c>
      <c r="P854" t="str">
        <f>HYPERLINK("https://www.facebook.com/842676446176813")</f>
        <v>https://www.facebook.com/842676446176813</v>
      </c>
      <c r="Q854">
        <v>2050</v>
      </c>
      <c r="R854" t="s">
        <v>32</v>
      </c>
      <c r="S854" t="s">
        <v>33</v>
      </c>
      <c r="T854" t="s">
        <v>34</v>
      </c>
      <c r="U854" t="s">
        <v>598</v>
      </c>
      <c r="V854" t="s">
        <v>599</v>
      </c>
    </row>
    <row r="855" spans="1:22" ht="16">
      <c r="A855" t="s">
        <v>2300</v>
      </c>
      <c r="B855" t="s">
        <v>1005</v>
      </c>
      <c r="C855" t="s">
        <v>24</v>
      </c>
      <c r="D855" t="s">
        <v>2502</v>
      </c>
      <c r="E855" t="s">
        <v>26</v>
      </c>
      <c r="F855" t="s">
        <v>27</v>
      </c>
      <c r="G855" t="str">
        <f>HYPERLINK("https://www.facebook.com/1989648124953203")</f>
        <v>https://www.facebook.com/1989648124953203</v>
      </c>
      <c r="H855" t="s">
        <v>28</v>
      </c>
      <c r="I855" t="s">
        <v>2503</v>
      </c>
      <c r="K855" t="str">
        <f>HYPERLINK("https://www.facebook.com/100017241047340")</f>
        <v>https://www.facebook.com/100017241047340</v>
      </c>
      <c r="M855" t="s">
        <v>40</v>
      </c>
      <c r="N855" t="s">
        <v>31</v>
      </c>
      <c r="O855" t="s">
        <v>2503</v>
      </c>
      <c r="P855" t="str">
        <f>HYPERLINK("https://www.facebook.com/100017241047340")</f>
        <v>https://www.facebook.com/100017241047340</v>
      </c>
      <c r="R855" t="s">
        <v>32</v>
      </c>
      <c r="S855" t="s">
        <v>33</v>
      </c>
      <c r="T855" t="s">
        <v>34</v>
      </c>
      <c r="U855" t="s">
        <v>598</v>
      </c>
      <c r="V855" t="s">
        <v>599</v>
      </c>
    </row>
    <row r="856" spans="1:22" ht="16">
      <c r="A856" t="s">
        <v>2300</v>
      </c>
      <c r="B856" t="s">
        <v>2505</v>
      </c>
      <c r="C856" t="s">
        <v>24</v>
      </c>
      <c r="D856" t="s">
        <v>1381</v>
      </c>
      <c r="E856" t="s">
        <v>26</v>
      </c>
      <c r="F856" t="s">
        <v>55</v>
      </c>
      <c r="G856" t="str">
        <f>HYPERLINK("https://www.facebook.com/1210108454670733")</f>
        <v>https://www.facebook.com/1210108454670733</v>
      </c>
      <c r="H856" t="s">
        <v>28</v>
      </c>
      <c r="I856" t="s">
        <v>2506</v>
      </c>
      <c r="K856" t="str">
        <f>HYPERLINK("https://www.facebook.com/399356890187681")</f>
        <v>https://www.facebook.com/399356890187681</v>
      </c>
      <c r="L856">
        <v>173931</v>
      </c>
      <c r="M856" t="s">
        <v>345</v>
      </c>
      <c r="N856" t="s">
        <v>31</v>
      </c>
      <c r="O856" t="s">
        <v>2506</v>
      </c>
      <c r="P856" t="str">
        <f>HYPERLINK("https://www.facebook.com/399356890187681")</f>
        <v>https://www.facebook.com/399356890187681</v>
      </c>
      <c r="Q856">
        <v>173931</v>
      </c>
      <c r="R856" t="s">
        <v>32</v>
      </c>
      <c r="S856" t="s">
        <v>33</v>
      </c>
      <c r="T856" t="s">
        <v>34</v>
      </c>
      <c r="U856" t="s">
        <v>58</v>
      </c>
      <c r="V856" t="s">
        <v>58</v>
      </c>
    </row>
    <row r="857" spans="1:22" ht="16">
      <c r="A857" t="s">
        <v>2300</v>
      </c>
      <c r="B857" t="s">
        <v>1008</v>
      </c>
      <c r="C857" t="s">
        <v>768</v>
      </c>
      <c r="D857" t="s">
        <v>2507</v>
      </c>
      <c r="E857" t="s">
        <v>74</v>
      </c>
      <c r="F857" t="s">
        <v>3</v>
      </c>
      <c r="G857" t="str">
        <f>HYPERLINK("https://www.facebook.com/toyelviv/posts/pfbid02HyVHmdRrHaKvpJCV4k8sSATEQmB44tvrgpepSrJQ66Qs74jVAzPQ6qaz5ZMHUoNBl?comment_id=907487442145706")</f>
        <v>https://www.facebook.com/toyelviv/posts/pfbid02HyVHmdRrHaKvpJCV4k8sSATEQmB44tvrgpepSrJQ66Qs74jVAzPQ6qaz5ZMHUoNBl?comment_id=907487442145706</v>
      </c>
      <c r="H857" t="s">
        <v>28</v>
      </c>
      <c r="I857" t="s">
        <v>2508</v>
      </c>
      <c r="K857" t="str">
        <f>HYPERLINK("https://www.facebook.com/100008027434311")</f>
        <v>https://www.facebook.com/100008027434311</v>
      </c>
      <c r="M857" t="s">
        <v>30</v>
      </c>
      <c r="N857" t="s">
        <v>31</v>
      </c>
      <c r="O857" t="s">
        <v>1559</v>
      </c>
      <c r="P857" t="str">
        <f>HYPERLINK("https://www.facebook.com/320892981422193")</f>
        <v>https://www.facebook.com/320892981422193</v>
      </c>
      <c r="Q857">
        <v>293869</v>
      </c>
      <c r="R857" t="s">
        <v>32</v>
      </c>
      <c r="S857" t="s">
        <v>85</v>
      </c>
      <c r="T857" t="s">
        <v>34</v>
      </c>
      <c r="U857" t="s">
        <v>41</v>
      </c>
      <c r="V857" t="s">
        <v>42</v>
      </c>
    </row>
    <row r="858" spans="1:22" ht="16">
      <c r="A858" t="s">
        <v>2300</v>
      </c>
      <c r="B858" t="s">
        <v>2509</v>
      </c>
      <c r="C858" t="s">
        <v>72</v>
      </c>
      <c r="D858" t="s">
        <v>2510</v>
      </c>
      <c r="E858" t="s">
        <v>74</v>
      </c>
      <c r="F858" t="s">
        <v>3</v>
      </c>
      <c r="G858" t="str">
        <f>HYPERLINK("https://www.facebook.com/antonov.vs/posts/pfbid0WoDA925DuzoodzbS7V28bt4ds9TmfsHEXjvxieTXWzQ3cuc53piJ6r5PvYjhKEdjl?comment_id=943293294937792")</f>
        <v>https://www.facebook.com/antonov.vs/posts/pfbid0WoDA925DuzoodzbS7V28bt4ds9TmfsHEXjvxieTXWzQ3cuc53piJ6r5PvYjhKEdjl?comment_id=943293294937792</v>
      </c>
      <c r="H858" t="s">
        <v>28</v>
      </c>
      <c r="I858" t="s">
        <v>2511</v>
      </c>
      <c r="K858" t="str">
        <f>HYPERLINK("https://www.facebook.com/61579411510854")</f>
        <v>https://www.facebook.com/61579411510854</v>
      </c>
      <c r="M858" t="s">
        <v>40</v>
      </c>
      <c r="N858" t="s">
        <v>31</v>
      </c>
      <c r="O858" t="s">
        <v>1127</v>
      </c>
      <c r="P858" t="str">
        <f>HYPERLINK("https://www.facebook.com/100002292546539")</f>
        <v>https://www.facebook.com/100002292546539</v>
      </c>
      <c r="Q858">
        <v>485</v>
      </c>
      <c r="R858" t="s">
        <v>32</v>
      </c>
      <c r="S858" t="s">
        <v>85</v>
      </c>
      <c r="T858" t="s">
        <v>34</v>
      </c>
      <c r="U858" t="s">
        <v>1308</v>
      </c>
      <c r="V858" t="s">
        <v>1309</v>
      </c>
    </row>
    <row r="859" spans="1:22" ht="16">
      <c r="A859" t="s">
        <v>2300</v>
      </c>
      <c r="B859" t="s">
        <v>2509</v>
      </c>
      <c r="C859" t="s">
        <v>80</v>
      </c>
      <c r="D859" t="s">
        <v>2512</v>
      </c>
      <c r="E859" t="s">
        <v>74</v>
      </c>
      <c r="F859" t="s">
        <v>3</v>
      </c>
      <c r="G859" t="str">
        <f>HYPERLINK("https://www.facebook.com/Yullita74/posts/pfbid02BZjihkK27iqC5RwM64mnjUDovVzxkgDhp5G4AQtRSsVRU4RyvTBpKYigtyDmfmQsl?comment_id=2645360602500741&amp;reply_comment_id=2059687211431661")</f>
        <v>https://www.facebook.com/Yullita74/posts/pfbid02BZjihkK27iqC5RwM64mnjUDovVzxkgDhp5G4AQtRSsVRU4RyvTBpKYigtyDmfmQsl?comment_id=2645360602500741&amp;reply_comment_id=2059687211431661</v>
      </c>
      <c r="H859" t="s">
        <v>28</v>
      </c>
      <c r="I859" t="s">
        <v>2426</v>
      </c>
      <c r="J859" t="s">
        <v>2513</v>
      </c>
      <c r="K859" t="str">
        <f>HYPERLINK("https://www.facebook.com/100001450230363")</f>
        <v>https://www.facebook.com/100001450230363</v>
      </c>
      <c r="M859" t="s">
        <v>30</v>
      </c>
      <c r="N859" t="s">
        <v>31</v>
      </c>
      <c r="O859" t="s">
        <v>2426</v>
      </c>
      <c r="P859" t="str">
        <f>HYPERLINK("https://www.facebook.com/100001450230363")</f>
        <v>https://www.facebook.com/100001450230363</v>
      </c>
      <c r="R859" t="s">
        <v>32</v>
      </c>
      <c r="S859" t="s">
        <v>33</v>
      </c>
      <c r="T859" t="s">
        <v>34</v>
      </c>
      <c r="U859" t="s">
        <v>58</v>
      </c>
      <c r="V859" t="s">
        <v>58</v>
      </c>
    </row>
    <row r="860" spans="1:22" ht="16">
      <c r="A860" t="s">
        <v>2300</v>
      </c>
      <c r="B860" t="s">
        <v>2514</v>
      </c>
      <c r="C860" t="s">
        <v>80</v>
      </c>
      <c r="D860" t="s">
        <v>2515</v>
      </c>
      <c r="E860" t="s">
        <v>74</v>
      </c>
      <c r="F860" t="s">
        <v>3</v>
      </c>
      <c r="G860" t="str">
        <f>HYPERLINK("https://www.facebook.com/permalink.php?story_fbid=pfbid02rbt51TUb57HR4F6gBd5FwSTuyaUp3gHvM6gsAExHboTPbUq2FdNvTKt3sBpRB8pml&amp;id=100006975138432&amp;comment_id=783097531026894")</f>
        <v>https://www.facebook.com/permalink.php?story_fbid=pfbid02rbt51TUb57HR4F6gBd5FwSTuyaUp3gHvM6gsAExHboTPbUq2FdNvTKt3sBpRB8pml&amp;id=100006975138432&amp;comment_id=783097531026894</v>
      </c>
      <c r="H860" t="s">
        <v>28</v>
      </c>
      <c r="I860" t="s">
        <v>2516</v>
      </c>
      <c r="K860" t="str">
        <f>HYPERLINK("https://www.facebook.com/100029365174588")</f>
        <v>https://www.facebook.com/100029365174588</v>
      </c>
      <c r="M860" t="s">
        <v>30</v>
      </c>
      <c r="N860" t="s">
        <v>31</v>
      </c>
      <c r="O860" t="s">
        <v>1399</v>
      </c>
      <c r="P860" t="str">
        <f>HYPERLINK("https://www.facebook.com/100006975138432")</f>
        <v>https://www.facebook.com/100006975138432</v>
      </c>
      <c r="R860" t="s">
        <v>32</v>
      </c>
      <c r="S860" t="s">
        <v>85</v>
      </c>
      <c r="T860" t="s">
        <v>117</v>
      </c>
      <c r="U860" t="s">
        <v>118</v>
      </c>
      <c r="V860" t="s">
        <v>2517</v>
      </c>
    </row>
    <row r="861" spans="1:20" ht="16">
      <c r="A861" t="s">
        <v>2300</v>
      </c>
      <c r="B861" t="s">
        <v>2518</v>
      </c>
      <c r="C861" t="s">
        <v>24</v>
      </c>
      <c r="D861" t="s">
        <v>2007</v>
      </c>
      <c r="E861" t="s">
        <v>45</v>
      </c>
      <c r="F861" t="s">
        <v>281</v>
      </c>
      <c r="G861" t="str">
        <f>HYPERLINK("https://twitter.com/Anton38527993/status/2027480066289008821")</f>
        <v>https://twitter.com/Anton38527993/status/2027480066289008821</v>
      </c>
      <c r="H861" t="s">
        <v>28</v>
      </c>
      <c r="I861" t="s">
        <v>2519</v>
      </c>
      <c r="J861" t="s">
        <v>2520</v>
      </c>
      <c r="K861" t="str">
        <f>HYPERLINK("http://twitter.com/Anton38527993")</f>
        <v>http://twitter.com/Anton38527993</v>
      </c>
      <c r="L861">
        <v>29</v>
      </c>
      <c r="N861" t="s">
        <v>278</v>
      </c>
      <c r="R861" t="s">
        <v>32</v>
      </c>
      <c r="S861" t="s">
        <v>33</v>
      </c>
      <c r="T861" t="s">
        <v>34</v>
      </c>
    </row>
    <row r="862" spans="1:22" ht="16">
      <c r="A862" t="s">
        <v>2300</v>
      </c>
      <c r="B862" t="s">
        <v>1010</v>
      </c>
      <c r="C862" t="s">
        <v>80</v>
      </c>
      <c r="D862" t="s">
        <v>2521</v>
      </c>
      <c r="E862" t="s">
        <v>74</v>
      </c>
      <c r="F862" t="s">
        <v>3</v>
      </c>
      <c r="G862" t="str">
        <f>HYPERLINK("https://www.facebook.com/westukrnews/posts/pfbid05KpJzZfAmc7DG6HMNPojmy3FDtYQBjx33JCcksAdDUDGcWNSDnn66BSqDiowXeWol?comment_id=4355566474701724&amp;reply_comment_id=1914124539244980")</f>
        <v>https://www.facebook.com/westukrnews/posts/pfbid05KpJzZfAmc7DG6HMNPojmy3FDtYQBjx33JCcksAdDUDGcWNSDnn66BSqDiowXeWol?comment_id=4355566474701724&amp;reply_comment_id=1914124539244980</v>
      </c>
      <c r="H862" t="s">
        <v>28</v>
      </c>
      <c r="I862" t="s">
        <v>2522</v>
      </c>
      <c r="K862" t="str">
        <f>HYPERLINK("https://www.facebook.com/61569848578406")</f>
        <v>https://www.facebook.com/61569848578406</v>
      </c>
      <c r="M862" t="s">
        <v>30</v>
      </c>
      <c r="N862" t="s">
        <v>31</v>
      </c>
      <c r="O862" t="s">
        <v>813</v>
      </c>
      <c r="P862" t="str">
        <f>HYPERLINK("https://www.facebook.com/264234810584424")</f>
        <v>https://www.facebook.com/264234810584424</v>
      </c>
      <c r="Q862">
        <v>559985</v>
      </c>
      <c r="R862" t="s">
        <v>32</v>
      </c>
      <c r="S862" t="s">
        <v>33</v>
      </c>
      <c r="T862" t="s">
        <v>34</v>
      </c>
      <c r="U862" t="s">
        <v>487</v>
      </c>
      <c r="V862" t="s">
        <v>814</v>
      </c>
    </row>
    <row r="863" spans="1:22" ht="16">
      <c r="A863" t="s">
        <v>2300</v>
      </c>
      <c r="B863" t="s">
        <v>1010</v>
      </c>
      <c r="C863" t="s">
        <v>80</v>
      </c>
      <c r="D863" t="s">
        <v>2523</v>
      </c>
      <c r="E863" t="s">
        <v>74</v>
      </c>
      <c r="F863" t="s">
        <v>3</v>
      </c>
      <c r="G863" t="str">
        <f>HYPERLINK("https://www.facebook.com/permalink.php?story_fbid=pfbid02rbt51TUb57HR4F6gBd5FwSTuyaUp3gHvM6gsAExHboTPbUq2FdNvTKt3sBpRB8pml&amp;id=100006975138432&amp;comment_id=1685539619488625")</f>
        <v>https://www.facebook.com/permalink.php?story_fbid=pfbid02rbt51TUb57HR4F6gBd5FwSTuyaUp3gHvM6gsAExHboTPbUq2FdNvTKt3sBpRB8pml&amp;id=100006975138432&amp;comment_id=1685539619488625</v>
      </c>
      <c r="H863" t="s">
        <v>28</v>
      </c>
      <c r="I863" t="s">
        <v>2524</v>
      </c>
      <c r="K863" t="str">
        <f>HYPERLINK("https://www.facebook.com/100005994856786")</f>
        <v>https://www.facebook.com/100005994856786</v>
      </c>
      <c r="M863" t="s">
        <v>40</v>
      </c>
      <c r="N863" t="s">
        <v>31</v>
      </c>
      <c r="O863" t="s">
        <v>1399</v>
      </c>
      <c r="P863" t="str">
        <f>HYPERLINK("https://www.facebook.com/100006975138432")</f>
        <v>https://www.facebook.com/100006975138432</v>
      </c>
      <c r="R863" t="s">
        <v>32</v>
      </c>
      <c r="S863" t="s">
        <v>85</v>
      </c>
      <c r="T863" t="s">
        <v>34</v>
      </c>
      <c r="U863" t="s">
        <v>58</v>
      </c>
      <c r="V863" t="s">
        <v>58</v>
      </c>
    </row>
    <row r="864" spans="1:20" ht="16">
      <c r="A864" t="s">
        <v>2300</v>
      </c>
      <c r="B864" t="s">
        <v>1010</v>
      </c>
      <c r="C864" t="s">
        <v>24</v>
      </c>
      <c r="D864" t="s">
        <v>2007</v>
      </c>
      <c r="E864" t="s">
        <v>45</v>
      </c>
      <c r="F864" t="s">
        <v>281</v>
      </c>
      <c r="G864" t="str">
        <f>HYPERLINK("https://twitter.com/jhanter/status/2027479761207914838")</f>
        <v>https://twitter.com/jhanter/status/2027479761207914838</v>
      </c>
      <c r="H864" t="s">
        <v>28</v>
      </c>
      <c r="I864" t="s">
        <v>931</v>
      </c>
      <c r="J864" t="s">
        <v>932</v>
      </c>
      <c r="K864" t="str">
        <f>HYPERLINK("http://twitter.com/jhanter")</f>
        <v>http://twitter.com/jhanter</v>
      </c>
      <c r="L864">
        <v>147</v>
      </c>
      <c r="M864" t="s">
        <v>40</v>
      </c>
      <c r="N864" t="s">
        <v>278</v>
      </c>
      <c r="R864" t="s">
        <v>32</v>
      </c>
      <c r="S864" t="s">
        <v>33</v>
      </c>
      <c r="T864" t="s">
        <v>34</v>
      </c>
    </row>
    <row r="865" spans="1:22" ht="16">
      <c r="A865" t="s">
        <v>2300</v>
      </c>
      <c r="B865" t="s">
        <v>2525</v>
      </c>
      <c r="C865" t="s">
        <v>24</v>
      </c>
      <c r="D865" t="s">
        <v>44</v>
      </c>
      <c r="E865" t="s">
        <v>45</v>
      </c>
      <c r="F865" t="s">
        <v>46</v>
      </c>
      <c r="G865" t="str">
        <f>HYPERLINK("https://www.facebook.com/4162264080755642")</f>
        <v>https://www.facebook.com/4162264080755642</v>
      </c>
      <c r="H865" t="s">
        <v>28</v>
      </c>
      <c r="I865" t="s">
        <v>2526</v>
      </c>
      <c r="K865" t="str">
        <f>HYPERLINK("https://www.facebook.com/100085617087255")</f>
        <v>https://www.facebook.com/100085617087255</v>
      </c>
      <c r="M865" t="s">
        <v>30</v>
      </c>
      <c r="N865" t="s">
        <v>31</v>
      </c>
      <c r="O865" t="s">
        <v>2527</v>
      </c>
      <c r="P865" t="str">
        <f>HYPERLINK("https://www.facebook.com/1505719469743463")</f>
        <v>https://www.facebook.com/1505719469743463</v>
      </c>
      <c r="Q865">
        <v>10003</v>
      </c>
      <c r="R865" t="s">
        <v>32</v>
      </c>
      <c r="S865" t="s">
        <v>33</v>
      </c>
      <c r="T865" t="s">
        <v>86</v>
      </c>
      <c r="U865" t="s">
        <v>87</v>
      </c>
      <c r="V865" t="s">
        <v>2528</v>
      </c>
    </row>
    <row r="866" spans="1:22" ht="16">
      <c r="A866" t="s">
        <v>2300</v>
      </c>
      <c r="B866" t="s">
        <v>2525</v>
      </c>
      <c r="C866" t="s">
        <v>24</v>
      </c>
      <c r="D866" t="s">
        <v>44</v>
      </c>
      <c r="E866" t="s">
        <v>45</v>
      </c>
      <c r="F866" t="s">
        <v>46</v>
      </c>
      <c r="G866" t="str">
        <f>HYPERLINK("https://www.facebook.com/26742564085362104")</f>
        <v>https://www.facebook.com/26742564085362104</v>
      </c>
      <c r="H866" t="s">
        <v>28</v>
      </c>
      <c r="I866" t="s">
        <v>2526</v>
      </c>
      <c r="K866" t="str">
        <f>HYPERLINK("https://www.facebook.com/100085617087255")</f>
        <v>https://www.facebook.com/100085617087255</v>
      </c>
      <c r="M866" t="s">
        <v>30</v>
      </c>
      <c r="N866" t="s">
        <v>31</v>
      </c>
      <c r="O866" t="s">
        <v>2412</v>
      </c>
      <c r="P866" t="str">
        <f>HYPERLINK("https://www.facebook.com/595133910531812")</f>
        <v>https://www.facebook.com/595133910531812</v>
      </c>
      <c r="Q866">
        <v>13882</v>
      </c>
      <c r="R866" t="s">
        <v>32</v>
      </c>
      <c r="S866" t="s">
        <v>33</v>
      </c>
      <c r="T866" t="s">
        <v>86</v>
      </c>
      <c r="U866" t="s">
        <v>87</v>
      </c>
      <c r="V866" t="s">
        <v>2528</v>
      </c>
    </row>
    <row r="867" spans="1:22" ht="16">
      <c r="A867" t="s">
        <v>2300</v>
      </c>
      <c r="B867" t="s">
        <v>2525</v>
      </c>
      <c r="C867" t="s">
        <v>24</v>
      </c>
      <c r="D867" t="s">
        <v>44</v>
      </c>
      <c r="E867" t="s">
        <v>45</v>
      </c>
      <c r="F867" t="s">
        <v>46</v>
      </c>
      <c r="G867" t="str">
        <f>HYPERLINK("https://www.facebook.com/3428884270623588")</f>
        <v>https://www.facebook.com/3428884270623588</v>
      </c>
      <c r="H867" t="s">
        <v>28</v>
      </c>
      <c r="I867" t="s">
        <v>2529</v>
      </c>
      <c r="K867" t="str">
        <f>HYPERLINK("https://www.facebook.com/100005061455359")</f>
        <v>https://www.facebook.com/100005061455359</v>
      </c>
      <c r="M867" t="s">
        <v>30</v>
      </c>
      <c r="N867" t="s">
        <v>31</v>
      </c>
      <c r="O867" t="s">
        <v>2529</v>
      </c>
      <c r="P867" t="str">
        <f>HYPERLINK("https://www.facebook.com/100005061455359")</f>
        <v>https://www.facebook.com/100005061455359</v>
      </c>
      <c r="R867" t="s">
        <v>32</v>
      </c>
      <c r="S867" t="s">
        <v>33</v>
      </c>
      <c r="T867" t="s">
        <v>34</v>
      </c>
      <c r="U867" t="s">
        <v>1685</v>
      </c>
      <c r="V867" t="s">
        <v>1686</v>
      </c>
    </row>
    <row r="868" spans="1:20" ht="16">
      <c r="A868" t="s">
        <v>2300</v>
      </c>
      <c r="B868" t="s">
        <v>2525</v>
      </c>
      <c r="C868" t="s">
        <v>24</v>
      </c>
      <c r="D868" t="s">
        <v>2007</v>
      </c>
      <c r="E868" t="s">
        <v>45</v>
      </c>
      <c r="F868" t="s">
        <v>281</v>
      </c>
      <c r="G868" t="str">
        <f>HYPERLINK("https://twitter.com/partizan201415/status/2027479112625893499")</f>
        <v>https://twitter.com/partizan201415/status/2027479112625893499</v>
      </c>
      <c r="H868" t="s">
        <v>28</v>
      </c>
      <c r="I868" t="s">
        <v>2530</v>
      </c>
      <c r="J868" t="s">
        <v>2531</v>
      </c>
      <c r="K868" t="str">
        <f>HYPERLINK("http://twitter.com/partizan201415")</f>
        <v>http://twitter.com/partizan201415</v>
      </c>
      <c r="L868">
        <v>4921</v>
      </c>
      <c r="M868" t="s">
        <v>40</v>
      </c>
      <c r="N868" t="s">
        <v>278</v>
      </c>
      <c r="R868" t="s">
        <v>32</v>
      </c>
      <c r="S868" t="s">
        <v>33</v>
      </c>
      <c r="T868" t="s">
        <v>34</v>
      </c>
    </row>
    <row r="869" spans="1:22" ht="16">
      <c r="A869" t="s">
        <v>2300</v>
      </c>
      <c r="B869" t="s">
        <v>1018</v>
      </c>
      <c r="C869" t="s">
        <v>80</v>
      </c>
      <c r="D869" t="s">
        <v>2532</v>
      </c>
      <c r="E869" t="s">
        <v>74</v>
      </c>
      <c r="F869" t="s">
        <v>3</v>
      </c>
      <c r="G869" t="str">
        <f>HYPERLINK("https://www.facebook.com/westukrnews/posts/pfbid05KpJzZfAmc7DG6HMNPojmy3FDtYQBjx33JCcksAdDUDGcWNSDnn66BSqDiowXeWol?comment_id=882186894583212")</f>
        <v>https://www.facebook.com/westukrnews/posts/pfbid05KpJzZfAmc7DG6HMNPojmy3FDtYQBjx33JCcksAdDUDGcWNSDnn66BSqDiowXeWol?comment_id=882186894583212</v>
      </c>
      <c r="H869" t="s">
        <v>28</v>
      </c>
      <c r="I869" t="s">
        <v>2533</v>
      </c>
      <c r="K869" t="str">
        <f>HYPERLINK("https://www.facebook.com/61556753445923")</f>
        <v>https://www.facebook.com/61556753445923</v>
      </c>
      <c r="M869" t="s">
        <v>30</v>
      </c>
      <c r="N869" t="s">
        <v>31</v>
      </c>
      <c r="O869" t="s">
        <v>813</v>
      </c>
      <c r="P869" t="str">
        <f>HYPERLINK("https://www.facebook.com/264234810584424")</f>
        <v>https://www.facebook.com/264234810584424</v>
      </c>
      <c r="Q869">
        <v>559985</v>
      </c>
      <c r="R869" t="s">
        <v>32</v>
      </c>
      <c r="S869" t="s">
        <v>57</v>
      </c>
      <c r="T869" t="s">
        <v>34</v>
      </c>
      <c r="U869" t="s">
        <v>487</v>
      </c>
      <c r="V869" t="s">
        <v>814</v>
      </c>
    </row>
    <row r="870" spans="1:20" ht="16">
      <c r="A870" t="s">
        <v>2300</v>
      </c>
      <c r="B870" t="s">
        <v>2534</v>
      </c>
      <c r="C870" t="s">
        <v>24</v>
      </c>
      <c r="D870" t="s">
        <v>2535</v>
      </c>
      <c r="E870" t="s">
        <v>26</v>
      </c>
      <c r="F870" t="s">
        <v>2536</v>
      </c>
      <c r="G870" t="str">
        <f>HYPERLINK("https://www.tiktok.com/@daredevil7560/video/7611641953091964181")</f>
        <v>https://www.tiktok.com/@daredevil7560/video/7611641953091964181</v>
      </c>
      <c r="H870" t="s">
        <v>28</v>
      </c>
      <c r="I870" t="s">
        <v>2537</v>
      </c>
      <c r="J870" t="s">
        <v>2538</v>
      </c>
      <c r="K870" t="str">
        <f>HYPERLINK("https://www.tiktok.com/share/user/7259412735599166469")</f>
        <v>https://www.tiktok.com/share/user/7259412735599166469</v>
      </c>
      <c r="L870">
        <v>15400</v>
      </c>
      <c r="N870" t="s">
        <v>284</v>
      </c>
      <c r="O870" t="s">
        <v>2537</v>
      </c>
      <c r="P870" t="str">
        <f>HYPERLINK("https://www.tiktok.com/share/user/7259412735599166469")</f>
        <v>https://www.tiktok.com/share/user/7259412735599166469</v>
      </c>
      <c r="Q870">
        <v>15400</v>
      </c>
      <c r="R870" t="s">
        <v>32</v>
      </c>
      <c r="S870" t="s">
        <v>33</v>
      </c>
      <c r="T870" t="s">
        <v>34</v>
      </c>
    </row>
    <row r="871" spans="1:20" ht="16">
      <c r="A871" t="s">
        <v>2300</v>
      </c>
      <c r="B871" t="s">
        <v>2539</v>
      </c>
      <c r="C871" t="s">
        <v>24</v>
      </c>
      <c r="D871" t="s">
        <v>2007</v>
      </c>
      <c r="E871" t="s">
        <v>45</v>
      </c>
      <c r="F871" t="s">
        <v>281</v>
      </c>
      <c r="G871" t="str">
        <f>HYPERLINK("https://twitter.com/freeavantjazz/status/2027478237593379117")</f>
        <v>https://twitter.com/freeavantjazz/status/2027478237593379117</v>
      </c>
      <c r="H871" t="s">
        <v>28</v>
      </c>
      <c r="I871" t="s">
        <v>2540</v>
      </c>
      <c r="J871" t="s">
        <v>2541</v>
      </c>
      <c r="K871" t="str">
        <f>HYPERLINK("http://twitter.com/freeavantjazz")</f>
        <v>http://twitter.com/freeavantjazz</v>
      </c>
      <c r="L871">
        <v>120</v>
      </c>
      <c r="N871" t="s">
        <v>278</v>
      </c>
      <c r="R871" t="s">
        <v>32</v>
      </c>
      <c r="S871" t="s">
        <v>33</v>
      </c>
      <c r="T871" t="s">
        <v>34</v>
      </c>
    </row>
    <row r="872" spans="1:21" ht="16">
      <c r="A872" t="s">
        <v>2300</v>
      </c>
      <c r="B872" t="s">
        <v>2539</v>
      </c>
      <c r="C872" t="s">
        <v>80</v>
      </c>
      <c r="D872" t="s">
        <v>24</v>
      </c>
      <c r="E872" t="s">
        <v>74</v>
      </c>
      <c r="F872" t="s">
        <v>185</v>
      </c>
      <c r="G872" t="str">
        <f>HYPERLINK("https://www.facebook.com/permalink.php?story_fbid=pfbid02pjSDtD2PCdmxjdtt43zQjo8a7vCAX6dYjgtpfrEgWHmT6B8Gd8DK5i46LRLRzRNzl&amp;id=100090843379637&amp;comment_id=1437520328105578")</f>
        <v>https://www.facebook.com/permalink.php?story_fbid=pfbid02pjSDtD2PCdmxjdtt43zQjo8a7vCAX6dYjgtpfrEgWHmT6B8Gd8DK5i46LRLRzRNzl&amp;id=100090843379637&amp;comment_id=1437520328105578</v>
      </c>
      <c r="H872" t="s">
        <v>28</v>
      </c>
      <c r="I872" t="s">
        <v>2542</v>
      </c>
      <c r="K872" t="str">
        <f>HYPERLINK("https://www.facebook.com/100044717018128")</f>
        <v>https://www.facebook.com/100044717018128</v>
      </c>
      <c r="M872" t="s">
        <v>40</v>
      </c>
      <c r="N872" t="s">
        <v>31</v>
      </c>
      <c r="O872" t="s">
        <v>876</v>
      </c>
      <c r="P872" t="str">
        <f>HYPERLINK("https://www.facebook.com/100090843379637")</f>
        <v>https://www.facebook.com/100090843379637</v>
      </c>
      <c r="R872" t="s">
        <v>32</v>
      </c>
      <c r="S872" t="s">
        <v>188</v>
      </c>
      <c r="T872" t="s">
        <v>34</v>
      </c>
      <c r="U872" t="s">
        <v>309</v>
      </c>
    </row>
    <row r="873" spans="1:22" ht="16">
      <c r="A873" t="s">
        <v>2300</v>
      </c>
      <c r="B873" t="s">
        <v>1026</v>
      </c>
      <c r="C873" t="s">
        <v>80</v>
      </c>
      <c r="D873" t="s">
        <v>2543</v>
      </c>
      <c r="E873" t="s">
        <v>74</v>
      </c>
      <c r="F873" t="s">
        <v>3</v>
      </c>
      <c r="G873" t="str">
        <f>HYPERLINK("https://www.facebook.com/permalink.php?story_fbid=pfbid02rbt51TUb57HR4F6gBd5FwSTuyaUp3gHvM6gsAExHboTPbUq2FdNvTKt3sBpRB8pml&amp;id=100006975138432&amp;comment_id=2466007373836121")</f>
        <v>https://www.facebook.com/permalink.php?story_fbid=pfbid02rbt51TUb57HR4F6gBd5FwSTuyaUp3gHvM6gsAExHboTPbUq2FdNvTKt3sBpRB8pml&amp;id=100006975138432&amp;comment_id=2466007373836121</v>
      </c>
      <c r="H873" t="s">
        <v>28</v>
      </c>
      <c r="I873" t="s">
        <v>2544</v>
      </c>
      <c r="J873" t="s">
        <v>2545</v>
      </c>
      <c r="K873" t="str">
        <f>HYPERLINK("https://www.facebook.com/100000667318437")</f>
        <v>https://www.facebook.com/100000667318437</v>
      </c>
      <c r="M873" t="s">
        <v>40</v>
      </c>
      <c r="N873" t="s">
        <v>31</v>
      </c>
      <c r="O873" t="s">
        <v>1399</v>
      </c>
      <c r="P873" t="str">
        <f>HYPERLINK("https://www.facebook.com/100006975138432")</f>
        <v>https://www.facebook.com/100006975138432</v>
      </c>
      <c r="R873" t="s">
        <v>32</v>
      </c>
      <c r="S873" t="s">
        <v>859</v>
      </c>
      <c r="T873" t="s">
        <v>34</v>
      </c>
      <c r="U873" t="s">
        <v>173</v>
      </c>
      <c r="V873" t="s">
        <v>174</v>
      </c>
    </row>
    <row r="874" spans="1:20" ht="16">
      <c r="A874" t="s">
        <v>2300</v>
      </c>
      <c r="B874" t="s">
        <v>1026</v>
      </c>
      <c r="C874" t="s">
        <v>24</v>
      </c>
      <c r="D874" t="s">
        <v>2007</v>
      </c>
      <c r="E874" t="s">
        <v>45</v>
      </c>
      <c r="F874" t="s">
        <v>281</v>
      </c>
      <c r="G874" t="str">
        <f>HYPERLINK("https://twitter.com/andreypeshehon1/status/2027477822671888751")</f>
        <v>https://twitter.com/andreypeshehon1/status/2027477822671888751</v>
      </c>
      <c r="H874" t="s">
        <v>28</v>
      </c>
      <c r="I874" t="s">
        <v>2546</v>
      </c>
      <c r="J874" t="s">
        <v>2547</v>
      </c>
      <c r="K874" t="str">
        <f>HYPERLINK("http://twitter.com/andreypeshehon1")</f>
        <v>http://twitter.com/andreypeshehon1</v>
      </c>
      <c r="L874">
        <v>10</v>
      </c>
      <c r="M874" t="s">
        <v>40</v>
      </c>
      <c r="N874" t="s">
        <v>278</v>
      </c>
      <c r="R874" t="s">
        <v>32</v>
      </c>
      <c r="S874" t="s">
        <v>33</v>
      </c>
      <c r="T874" t="s">
        <v>34</v>
      </c>
    </row>
    <row r="875" spans="1:22" ht="16">
      <c r="A875" t="s">
        <v>2300</v>
      </c>
      <c r="B875" t="s">
        <v>2548</v>
      </c>
      <c r="C875" t="s">
        <v>80</v>
      </c>
      <c r="D875" t="s">
        <v>2549</v>
      </c>
      <c r="E875" t="s">
        <v>74</v>
      </c>
      <c r="F875" t="s">
        <v>3</v>
      </c>
      <c r="G875" t="str">
        <f>HYPERLINK("https://www.facebook.com/westukrnews/posts/pfbid05KpJzZfAmc7DG6HMNPojmy3FDtYQBjx33JCcksAdDUDGcWNSDnn66BSqDiowXeWol?comment_id=1229571955473179")</f>
        <v>https://www.facebook.com/westukrnews/posts/pfbid05KpJzZfAmc7DG6HMNPojmy3FDtYQBjx33JCcksAdDUDGcWNSDnn66BSqDiowXeWol?comment_id=1229571955473179</v>
      </c>
      <c r="H875" t="s">
        <v>28</v>
      </c>
      <c r="I875" t="s">
        <v>2550</v>
      </c>
      <c r="K875" t="str">
        <f>HYPERLINK("https://www.facebook.com/100017470656610")</f>
        <v>https://www.facebook.com/100017470656610</v>
      </c>
      <c r="M875" t="s">
        <v>30</v>
      </c>
      <c r="N875" t="s">
        <v>31</v>
      </c>
      <c r="O875" t="s">
        <v>813</v>
      </c>
      <c r="P875" t="str">
        <f>HYPERLINK("https://www.facebook.com/264234810584424")</f>
        <v>https://www.facebook.com/264234810584424</v>
      </c>
      <c r="Q875">
        <v>559985</v>
      </c>
      <c r="R875" t="s">
        <v>32</v>
      </c>
      <c r="S875" t="s">
        <v>33</v>
      </c>
      <c r="T875" t="s">
        <v>34</v>
      </c>
      <c r="U875" t="s">
        <v>487</v>
      </c>
      <c r="V875" t="s">
        <v>814</v>
      </c>
    </row>
    <row r="876" spans="1:22" ht="16">
      <c r="A876" t="s">
        <v>2300</v>
      </c>
      <c r="B876" t="s">
        <v>2548</v>
      </c>
      <c r="C876" t="s">
        <v>24</v>
      </c>
      <c r="D876" t="s">
        <v>2551</v>
      </c>
      <c r="E876" t="s">
        <v>101</v>
      </c>
      <c r="F876" t="s">
        <v>46</v>
      </c>
      <c r="G876" t="str">
        <f>HYPERLINK("https://www.facebook.com/10241746319855621")</f>
        <v>https://www.facebook.com/10241746319855621</v>
      </c>
      <c r="H876" t="s">
        <v>28</v>
      </c>
      <c r="I876" t="s">
        <v>2552</v>
      </c>
      <c r="J876" t="s">
        <v>2553</v>
      </c>
      <c r="K876" t="str">
        <f>HYPERLINK("https://www.facebook.com/1259679617")</f>
        <v>https://www.facebook.com/1259679617</v>
      </c>
      <c r="M876" t="s">
        <v>30</v>
      </c>
      <c r="N876" t="s">
        <v>31</v>
      </c>
      <c r="O876" t="s">
        <v>2552</v>
      </c>
      <c r="P876" t="str">
        <f>HYPERLINK("https://www.facebook.com/1259679617")</f>
        <v>https://www.facebook.com/1259679617</v>
      </c>
      <c r="R876" t="s">
        <v>32</v>
      </c>
      <c r="S876" t="s">
        <v>33</v>
      </c>
      <c r="T876" t="s">
        <v>34</v>
      </c>
      <c r="U876" t="s">
        <v>58</v>
      </c>
      <c r="V876" t="s">
        <v>58</v>
      </c>
    </row>
    <row r="877" spans="1:22" ht="16">
      <c r="A877" t="s">
        <v>2300</v>
      </c>
      <c r="B877" t="s">
        <v>2548</v>
      </c>
      <c r="C877" t="s">
        <v>80</v>
      </c>
      <c r="D877" t="s">
        <v>2554</v>
      </c>
      <c r="E877" t="s">
        <v>74</v>
      </c>
      <c r="F877" t="s">
        <v>3</v>
      </c>
      <c r="G877" t="str">
        <f>HYPERLINK("https://www.facebook.com/permalink.php?story_fbid=pfbid02rbt51TUb57HR4F6gBd5FwSTuyaUp3gHvM6gsAExHboTPbUq2FdNvTKt3sBpRB8pml&amp;id=100006975138432&amp;comment_id=1608374423627372")</f>
        <v>https://www.facebook.com/permalink.php?story_fbid=pfbid02rbt51TUb57HR4F6gBd5FwSTuyaUp3gHvM6gsAExHboTPbUq2FdNvTKt3sBpRB8pml&amp;id=100006975138432&amp;comment_id=1608374423627372</v>
      </c>
      <c r="H877" t="s">
        <v>28</v>
      </c>
      <c r="I877" t="s">
        <v>2555</v>
      </c>
      <c r="K877" t="str">
        <f>HYPERLINK("https://www.facebook.com/100087936203123")</f>
        <v>https://www.facebook.com/100087936203123</v>
      </c>
      <c r="M877" t="s">
        <v>30</v>
      </c>
      <c r="N877" t="s">
        <v>31</v>
      </c>
      <c r="O877" t="s">
        <v>1399</v>
      </c>
      <c r="P877" t="str">
        <f>HYPERLINK("https://www.facebook.com/100006975138432")</f>
        <v>https://www.facebook.com/100006975138432</v>
      </c>
      <c r="R877" t="s">
        <v>32</v>
      </c>
      <c r="S877" t="s">
        <v>33</v>
      </c>
      <c r="T877" t="s">
        <v>34</v>
      </c>
      <c r="U877" t="s">
        <v>58</v>
      </c>
      <c r="V877" t="s">
        <v>58</v>
      </c>
    </row>
    <row r="878" spans="1:20" ht="16">
      <c r="A878" t="s">
        <v>2300</v>
      </c>
      <c r="B878" t="s">
        <v>141</v>
      </c>
      <c r="C878" t="s">
        <v>768</v>
      </c>
      <c r="D878" t="s">
        <v>2556</v>
      </c>
      <c r="E878" t="s">
        <v>74</v>
      </c>
      <c r="F878" t="s">
        <v>3</v>
      </c>
      <c r="G878" t="str">
        <f>HYPERLINK("https://www.facebook.com/toyelviv/posts/pfbid02HyVHmdRrHaKvpJCV4k8sSATEQmB44tvrgpepSrJQ66Qs74jVAzPQ6qaz5ZMHUoNBl?comment_id=1492200119189149")</f>
        <v>https://www.facebook.com/toyelviv/posts/pfbid02HyVHmdRrHaKvpJCV4k8sSATEQmB44tvrgpepSrJQ66Qs74jVAzPQ6qaz5ZMHUoNBl?comment_id=1492200119189149</v>
      </c>
      <c r="H878" t="s">
        <v>28</v>
      </c>
      <c r="I878" t="s">
        <v>2557</v>
      </c>
      <c r="K878" t="str">
        <f>HYPERLINK("https://www.facebook.com/100076860782871")</f>
        <v>https://www.facebook.com/100076860782871</v>
      </c>
      <c r="M878" t="s">
        <v>30</v>
      </c>
      <c r="N878" t="s">
        <v>31</v>
      </c>
      <c r="O878" t="s">
        <v>1559</v>
      </c>
      <c r="P878" t="str">
        <f>HYPERLINK("https://www.facebook.com/320892981422193")</f>
        <v>https://www.facebook.com/320892981422193</v>
      </c>
      <c r="Q878">
        <v>293869</v>
      </c>
      <c r="R878" t="s">
        <v>32</v>
      </c>
      <c r="S878" t="s">
        <v>85</v>
      </c>
      <c r="T878" t="s">
        <v>34</v>
      </c>
    </row>
    <row r="879" spans="1:20" ht="16">
      <c r="A879" t="s">
        <v>2300</v>
      </c>
      <c r="B879" t="s">
        <v>141</v>
      </c>
      <c r="C879" t="s">
        <v>24</v>
      </c>
      <c r="D879" t="s">
        <v>2007</v>
      </c>
      <c r="E879" t="s">
        <v>45</v>
      </c>
      <c r="F879" t="s">
        <v>281</v>
      </c>
      <c r="G879" t="str">
        <f>HYPERLINK("https://twitter.com/ENickolskaya/status/2027476916031148400")</f>
        <v>https://twitter.com/ENickolskaya/status/2027476916031148400</v>
      </c>
      <c r="H879" t="s">
        <v>28</v>
      </c>
      <c r="I879" t="s">
        <v>2558</v>
      </c>
      <c r="J879" t="s">
        <v>2559</v>
      </c>
      <c r="K879" t="str">
        <f>HYPERLINK("http://twitter.com/ENickolskaya")</f>
        <v>http://twitter.com/ENickolskaya</v>
      </c>
      <c r="L879">
        <v>253</v>
      </c>
      <c r="M879" t="s">
        <v>30</v>
      </c>
      <c r="N879" t="s">
        <v>278</v>
      </c>
      <c r="R879" t="s">
        <v>32</v>
      </c>
      <c r="S879" t="s">
        <v>33</v>
      </c>
      <c r="T879" t="s">
        <v>256</v>
      </c>
    </row>
    <row r="880" spans="1:22" ht="16">
      <c r="A880" t="s">
        <v>2300</v>
      </c>
      <c r="B880" t="s">
        <v>141</v>
      </c>
      <c r="C880" t="s">
        <v>24</v>
      </c>
      <c r="D880" t="s">
        <v>2560</v>
      </c>
      <c r="E880" t="s">
        <v>101</v>
      </c>
      <c r="F880" t="s">
        <v>281</v>
      </c>
      <c r="G880" t="str">
        <f>HYPERLINK("https://twitter.com/uspenovka19632/status/2027476910091944220")</f>
        <v>https://twitter.com/uspenovka19632/status/2027476910091944220</v>
      </c>
      <c r="H880" t="s">
        <v>28</v>
      </c>
      <c r="I880" t="s">
        <v>2561</v>
      </c>
      <c r="J880" t="s">
        <v>2562</v>
      </c>
      <c r="K880" t="str">
        <f>HYPERLINK("http://twitter.com/uspenovka19632")</f>
        <v>http://twitter.com/uspenovka19632</v>
      </c>
      <c r="L880">
        <v>9578</v>
      </c>
      <c r="M880" t="s">
        <v>40</v>
      </c>
      <c r="N880" t="s">
        <v>278</v>
      </c>
      <c r="R880" t="s">
        <v>32</v>
      </c>
      <c r="S880" t="s">
        <v>33</v>
      </c>
      <c r="T880" t="s">
        <v>34</v>
      </c>
      <c r="U880" t="s">
        <v>58</v>
      </c>
      <c r="V880" t="s">
        <v>58</v>
      </c>
    </row>
    <row r="881" spans="1:22" ht="16">
      <c r="A881" t="s">
        <v>2300</v>
      </c>
      <c r="B881" t="s">
        <v>2563</v>
      </c>
      <c r="C881" t="s">
        <v>24</v>
      </c>
      <c r="D881" t="s">
        <v>2007</v>
      </c>
      <c r="E881" t="s">
        <v>45</v>
      </c>
      <c r="F881" t="s">
        <v>281</v>
      </c>
      <c r="G881" t="str">
        <f>HYPERLINK("https://twitter.com/uspenovka19632/status/2027476628238958847")</f>
        <v>https://twitter.com/uspenovka19632/status/2027476628238958847</v>
      </c>
      <c r="H881" t="s">
        <v>28</v>
      </c>
      <c r="I881" t="s">
        <v>2561</v>
      </c>
      <c r="J881" t="s">
        <v>2562</v>
      </c>
      <c r="K881" t="str">
        <f>HYPERLINK("http://twitter.com/uspenovka19632")</f>
        <v>http://twitter.com/uspenovka19632</v>
      </c>
      <c r="L881">
        <v>9578</v>
      </c>
      <c r="M881" t="s">
        <v>40</v>
      </c>
      <c r="N881" t="s">
        <v>278</v>
      </c>
      <c r="R881" t="s">
        <v>32</v>
      </c>
      <c r="S881" t="s">
        <v>33</v>
      </c>
      <c r="T881" t="s">
        <v>34</v>
      </c>
      <c r="U881" t="s">
        <v>58</v>
      </c>
      <c r="V881" t="s">
        <v>58</v>
      </c>
    </row>
    <row r="882" spans="1:21" ht="16">
      <c r="A882" t="s">
        <v>2300</v>
      </c>
      <c r="B882" t="s">
        <v>144</v>
      </c>
      <c r="C882" t="s">
        <v>80</v>
      </c>
      <c r="D882" t="s">
        <v>2564</v>
      </c>
      <c r="E882" t="s">
        <v>74</v>
      </c>
      <c r="F882" t="s">
        <v>1230</v>
      </c>
      <c r="G882" t="str">
        <f>HYPERLINK("https://www.facebook.com/permalink.php?story_fbid=pfbid02pjSDtD2PCdmxjdtt43zQjo8a7vCAX6dYjgtpfrEgWHmT6B8Gd8DK5i46LRLRzRNzl&amp;id=100090843379637&amp;comment_id=1243286947911887&amp;reply_comment_id=890984027038135")</f>
        <v>https://www.facebook.com/permalink.php?story_fbid=pfbid02pjSDtD2PCdmxjdtt43zQjo8a7vCAX6dYjgtpfrEgWHmT6B8Gd8DK5i46LRLRzRNzl&amp;id=100090843379637&amp;comment_id=1243286947911887&amp;reply_comment_id=890984027038135</v>
      </c>
      <c r="H882" t="s">
        <v>28</v>
      </c>
      <c r="I882" t="s">
        <v>876</v>
      </c>
      <c r="K882" t="str">
        <f>HYPERLINK("https://www.facebook.com/100090843379637")</f>
        <v>https://www.facebook.com/100090843379637</v>
      </c>
      <c r="M882" t="s">
        <v>40</v>
      </c>
      <c r="N882" t="s">
        <v>31</v>
      </c>
      <c r="O882" t="s">
        <v>876</v>
      </c>
      <c r="P882" t="str">
        <f>HYPERLINK("https://www.facebook.com/100090843379637")</f>
        <v>https://www.facebook.com/100090843379637</v>
      </c>
      <c r="R882" t="s">
        <v>32</v>
      </c>
      <c r="S882" t="s">
        <v>85</v>
      </c>
      <c r="T882" t="s">
        <v>34</v>
      </c>
      <c r="U882" t="s">
        <v>309</v>
      </c>
    </row>
    <row r="883" spans="1:19" ht="16">
      <c r="A883" t="s">
        <v>2300</v>
      </c>
      <c r="B883" t="s">
        <v>144</v>
      </c>
      <c r="C883" t="s">
        <v>24</v>
      </c>
      <c r="D883" t="s">
        <v>44</v>
      </c>
      <c r="E883" t="s">
        <v>45</v>
      </c>
      <c r="F883" t="s">
        <v>46</v>
      </c>
      <c r="G883" t="str">
        <f>HYPERLINK("https://www.facebook.com/1930612757550732")</f>
        <v>https://www.facebook.com/1930612757550732</v>
      </c>
      <c r="H883" t="s">
        <v>28</v>
      </c>
      <c r="I883" t="s">
        <v>152</v>
      </c>
      <c r="K883" t="str">
        <f>HYPERLINK("https://www.facebook.com/100018060784247")</f>
        <v>https://www.facebook.com/100018060784247</v>
      </c>
      <c r="M883" t="s">
        <v>30</v>
      </c>
      <c r="N883" t="s">
        <v>31</v>
      </c>
      <c r="O883" t="s">
        <v>152</v>
      </c>
      <c r="P883" t="str">
        <f>HYPERLINK("https://www.facebook.com/100018060784247")</f>
        <v>https://www.facebook.com/100018060784247</v>
      </c>
      <c r="R883" t="s">
        <v>32</v>
      </c>
      <c r="S883" t="s">
        <v>33</v>
      </c>
    </row>
    <row r="884" spans="1:21" ht="16">
      <c r="A884" t="s">
        <v>2300</v>
      </c>
      <c r="B884" t="s">
        <v>2565</v>
      </c>
      <c r="C884" t="s">
        <v>24</v>
      </c>
      <c r="D884" t="s">
        <v>1976</v>
      </c>
      <c r="E884" t="s">
        <v>45</v>
      </c>
      <c r="F884" t="s">
        <v>46</v>
      </c>
      <c r="G884" t="str">
        <f>HYPERLINK("https://www.facebook.com/877291271975644")</f>
        <v>https://www.facebook.com/877291271975644</v>
      </c>
      <c r="H884" t="s">
        <v>28</v>
      </c>
      <c r="I884" t="s">
        <v>876</v>
      </c>
      <c r="K884" t="str">
        <f>HYPERLINK("https://www.facebook.com/100090843379637")</f>
        <v>https://www.facebook.com/100090843379637</v>
      </c>
      <c r="M884" t="s">
        <v>40</v>
      </c>
      <c r="N884" t="s">
        <v>31</v>
      </c>
      <c r="O884" t="s">
        <v>876</v>
      </c>
      <c r="P884" t="str">
        <f>HYPERLINK("https://www.facebook.com/100090843379637")</f>
        <v>https://www.facebook.com/100090843379637</v>
      </c>
      <c r="R884" t="s">
        <v>32</v>
      </c>
      <c r="S884" t="s">
        <v>33</v>
      </c>
      <c r="T884" t="s">
        <v>34</v>
      </c>
      <c r="U884" t="s">
        <v>309</v>
      </c>
    </row>
    <row r="885" spans="1:20" ht="16">
      <c r="A885" t="s">
        <v>2300</v>
      </c>
      <c r="B885" t="s">
        <v>2565</v>
      </c>
      <c r="C885" t="s">
        <v>24</v>
      </c>
      <c r="D885" t="s">
        <v>2305</v>
      </c>
      <c r="E885" t="s">
        <v>101</v>
      </c>
      <c r="F885" t="s">
        <v>281</v>
      </c>
      <c r="G885" t="str">
        <f>HYPERLINK("https://twitter.com/kowalskydonetsk/status/2027476209576116304")</f>
        <v>https://twitter.com/kowalskydonetsk/status/2027476209576116304</v>
      </c>
      <c r="H885" t="s">
        <v>28</v>
      </c>
      <c r="I885" t="s">
        <v>2566</v>
      </c>
      <c r="J885" t="s">
        <v>2567</v>
      </c>
      <c r="K885" t="str">
        <f>HYPERLINK("http://twitter.com/kowalskydonetsk")</f>
        <v>http://twitter.com/kowalskydonetsk</v>
      </c>
      <c r="L885">
        <v>1403</v>
      </c>
      <c r="N885" t="s">
        <v>278</v>
      </c>
      <c r="R885" t="s">
        <v>32</v>
      </c>
      <c r="S885" t="s">
        <v>33</v>
      </c>
      <c r="T885" t="s">
        <v>34</v>
      </c>
    </row>
    <row r="886" spans="1:20" ht="16">
      <c r="A886" t="s">
        <v>2300</v>
      </c>
      <c r="B886" t="s">
        <v>147</v>
      </c>
      <c r="C886" t="s">
        <v>24</v>
      </c>
      <c r="D886" t="s">
        <v>2007</v>
      </c>
      <c r="E886" t="s">
        <v>45</v>
      </c>
      <c r="F886" t="s">
        <v>281</v>
      </c>
      <c r="G886" t="str">
        <f>HYPERLINK("https://twitter.com/katrinwerty/status/2027475832604614931")</f>
        <v>https://twitter.com/katrinwerty/status/2027475832604614931</v>
      </c>
      <c r="H886" t="s">
        <v>28</v>
      </c>
      <c r="I886" t="s">
        <v>1099</v>
      </c>
      <c r="J886" t="s">
        <v>1100</v>
      </c>
      <c r="K886" t="str">
        <f>HYPERLINK("http://twitter.com/katrinwerty")</f>
        <v>http://twitter.com/katrinwerty</v>
      </c>
      <c r="L886">
        <v>3624</v>
      </c>
      <c r="M886" t="s">
        <v>30</v>
      </c>
      <c r="N886" t="s">
        <v>278</v>
      </c>
      <c r="R886" t="s">
        <v>32</v>
      </c>
      <c r="S886" t="s">
        <v>33</v>
      </c>
      <c r="T886" t="s">
        <v>34</v>
      </c>
    </row>
    <row r="887" spans="1:22" ht="16">
      <c r="A887" t="s">
        <v>2300</v>
      </c>
      <c r="B887" t="s">
        <v>2568</v>
      </c>
      <c r="C887" t="s">
        <v>80</v>
      </c>
      <c r="D887" t="s">
        <v>2569</v>
      </c>
      <c r="E887" t="s">
        <v>74</v>
      </c>
      <c r="F887" t="s">
        <v>3</v>
      </c>
      <c r="G887" t="str">
        <f>HYPERLINK("https://www.facebook.com/westukrnews/posts/pfbid05KpJzZfAmc7DG6HMNPojmy3FDtYQBjx33JCcksAdDUDGcWNSDnn66BSqDiowXeWol?comment_id=4381953692126024")</f>
        <v>https://www.facebook.com/westukrnews/posts/pfbid05KpJzZfAmc7DG6HMNPojmy3FDtYQBjx33JCcksAdDUDGcWNSDnn66BSqDiowXeWol?comment_id=4381953692126024</v>
      </c>
      <c r="H887" t="s">
        <v>28</v>
      </c>
      <c r="I887" t="s">
        <v>2570</v>
      </c>
      <c r="K887" t="str">
        <f>HYPERLINK("https://www.facebook.com/100063584543322")</f>
        <v>https://www.facebook.com/100063584543322</v>
      </c>
      <c r="M887" t="s">
        <v>40</v>
      </c>
      <c r="N887" t="s">
        <v>31</v>
      </c>
      <c r="O887" t="s">
        <v>813</v>
      </c>
      <c r="P887" t="str">
        <f>HYPERLINK("https://www.facebook.com/264234810584424")</f>
        <v>https://www.facebook.com/264234810584424</v>
      </c>
      <c r="Q887">
        <v>559985</v>
      </c>
      <c r="R887" t="s">
        <v>32</v>
      </c>
      <c r="S887" t="s">
        <v>33</v>
      </c>
      <c r="T887" t="s">
        <v>34</v>
      </c>
      <c r="U887" t="s">
        <v>35</v>
      </c>
      <c r="V887" t="s">
        <v>2571</v>
      </c>
    </row>
    <row r="888" spans="1:22" ht="16">
      <c r="A888" t="s">
        <v>2300</v>
      </c>
      <c r="B888" t="s">
        <v>150</v>
      </c>
      <c r="C888" t="s">
        <v>80</v>
      </c>
      <c r="D888" t="s">
        <v>2572</v>
      </c>
      <c r="E888" t="s">
        <v>74</v>
      </c>
      <c r="F888" t="s">
        <v>3</v>
      </c>
      <c r="G888" t="str">
        <f>HYPERLINK("https://www.facebook.com/permalink.php?story_fbid=pfbid02pjSDtD2PCdmxjdtt43zQjo8a7vCAX6dYjgtpfrEgWHmT6B8Gd8DK5i46LRLRzRNzl&amp;id=100090843379637&amp;comment_id=1243286947911887")</f>
        <v>https://www.facebook.com/permalink.php?story_fbid=pfbid02pjSDtD2PCdmxjdtt43zQjo8a7vCAX6dYjgtpfrEgWHmT6B8Gd8DK5i46LRLRzRNzl&amp;id=100090843379637&amp;comment_id=1243286947911887</v>
      </c>
      <c r="H888" t="s">
        <v>28</v>
      </c>
      <c r="I888" t="s">
        <v>2564</v>
      </c>
      <c r="K888" t="str">
        <f>HYPERLINK("https://www.facebook.com/100011311938371")</f>
        <v>https://www.facebook.com/100011311938371</v>
      </c>
      <c r="M888" t="s">
        <v>30</v>
      </c>
      <c r="N888" t="s">
        <v>31</v>
      </c>
      <c r="O888" t="s">
        <v>876</v>
      </c>
      <c r="P888" t="str">
        <f>HYPERLINK("https://www.facebook.com/100090843379637")</f>
        <v>https://www.facebook.com/100090843379637</v>
      </c>
      <c r="R888" t="s">
        <v>32</v>
      </c>
      <c r="S888" t="s">
        <v>33</v>
      </c>
      <c r="T888" t="s">
        <v>240</v>
      </c>
      <c r="U888" t="s">
        <v>2573</v>
      </c>
      <c r="V888" t="s">
        <v>2574</v>
      </c>
    </row>
    <row r="889" spans="1:20" ht="16">
      <c r="A889" t="s">
        <v>2300</v>
      </c>
      <c r="B889" t="s">
        <v>2575</v>
      </c>
      <c r="C889" t="s">
        <v>768</v>
      </c>
      <c r="D889" t="s">
        <v>2576</v>
      </c>
      <c r="E889" t="s">
        <v>74</v>
      </c>
      <c r="F889" t="s">
        <v>3</v>
      </c>
      <c r="G889" t="str">
        <f>HYPERLINK("https://www.facebook.com/toyelviv/posts/pfbid02HyVHmdRrHaKvpJCV4k8sSATEQmB44tvrgpepSrJQ66Qs74jVAzPQ6qaz5ZMHUoNBl?comment_id=938019622152528")</f>
        <v>https://www.facebook.com/toyelviv/posts/pfbid02HyVHmdRrHaKvpJCV4k8sSATEQmB44tvrgpepSrJQ66Qs74jVAzPQ6qaz5ZMHUoNBl?comment_id=938019622152528</v>
      </c>
      <c r="H889" t="s">
        <v>28</v>
      </c>
      <c r="I889" t="s">
        <v>2577</v>
      </c>
      <c r="K889" t="str">
        <f>HYPERLINK("https://www.facebook.com/100000035552676")</f>
        <v>https://www.facebook.com/100000035552676</v>
      </c>
      <c r="M889" t="s">
        <v>30</v>
      </c>
      <c r="N889" t="s">
        <v>31</v>
      </c>
      <c r="O889" t="s">
        <v>1559</v>
      </c>
      <c r="P889" t="str">
        <f>HYPERLINK("https://www.facebook.com/320892981422193")</f>
        <v>https://www.facebook.com/320892981422193</v>
      </c>
      <c r="Q889">
        <v>293869</v>
      </c>
      <c r="R889" t="s">
        <v>32</v>
      </c>
      <c r="S889" t="s">
        <v>2004</v>
      </c>
      <c r="T889" t="s">
        <v>34</v>
      </c>
    </row>
    <row r="890" spans="1:22" ht="16">
      <c r="A890" t="s">
        <v>2300</v>
      </c>
      <c r="B890" t="s">
        <v>2575</v>
      </c>
      <c r="C890" t="s">
        <v>768</v>
      </c>
      <c r="D890" t="s">
        <v>2578</v>
      </c>
      <c r="E890" t="s">
        <v>74</v>
      </c>
      <c r="F890" t="s">
        <v>3</v>
      </c>
      <c r="G890" t="str">
        <f>HYPERLINK("https://www.facebook.com/toyelviv/posts/pfbid02HyVHmdRrHaKvpJCV4k8sSATEQmB44tvrgpepSrJQ66Qs74jVAzPQ6qaz5ZMHUoNBl?comment_id=769600045801128&amp;reply_comment_id=816015464860180")</f>
        <v>https://www.facebook.com/toyelviv/posts/pfbid02HyVHmdRrHaKvpJCV4k8sSATEQmB44tvrgpepSrJQ66Qs74jVAzPQ6qaz5ZMHUoNBl?comment_id=769600045801128&amp;reply_comment_id=816015464860180</v>
      </c>
      <c r="H890" t="s">
        <v>28</v>
      </c>
      <c r="I890" t="s">
        <v>2579</v>
      </c>
      <c r="J890" t="s">
        <v>2580</v>
      </c>
      <c r="K890" t="str">
        <f>HYPERLINK("https://www.facebook.com/100001620027469")</f>
        <v>https://www.facebook.com/100001620027469</v>
      </c>
      <c r="M890" t="s">
        <v>40</v>
      </c>
      <c r="N890" t="s">
        <v>31</v>
      </c>
      <c r="O890" t="s">
        <v>1559</v>
      </c>
      <c r="P890" t="str">
        <f>HYPERLINK("https://www.facebook.com/320892981422193")</f>
        <v>https://www.facebook.com/320892981422193</v>
      </c>
      <c r="Q890">
        <v>293869</v>
      </c>
      <c r="R890" t="s">
        <v>32</v>
      </c>
      <c r="S890" t="s">
        <v>85</v>
      </c>
      <c r="T890" t="s">
        <v>34</v>
      </c>
      <c r="U890" t="s">
        <v>41</v>
      </c>
      <c r="V890" t="s">
        <v>42</v>
      </c>
    </row>
    <row r="891" spans="1:22" ht="16">
      <c r="A891" t="s">
        <v>2300</v>
      </c>
      <c r="B891" t="s">
        <v>2575</v>
      </c>
      <c r="C891" t="s">
        <v>24</v>
      </c>
      <c r="D891" t="s">
        <v>254</v>
      </c>
      <c r="E891" t="s">
        <v>45</v>
      </c>
      <c r="F891" t="s">
        <v>46</v>
      </c>
      <c r="G891" t="str">
        <f>HYPERLINK("https://www.facebook.com/25879649555034236")</f>
        <v>https://www.facebook.com/25879649555034236</v>
      </c>
      <c r="H891" t="s">
        <v>28</v>
      </c>
      <c r="I891" t="s">
        <v>2581</v>
      </c>
      <c r="J891" t="s">
        <v>2582</v>
      </c>
      <c r="K891" t="str">
        <f>HYPERLINK("https://www.facebook.com/100002476357508")</f>
        <v>https://www.facebook.com/100002476357508</v>
      </c>
      <c r="M891" t="s">
        <v>40</v>
      </c>
      <c r="N891" t="s">
        <v>31</v>
      </c>
      <c r="O891" t="s">
        <v>2581</v>
      </c>
      <c r="P891" t="str">
        <f>HYPERLINK("https://www.facebook.com/100002476357508")</f>
        <v>https://www.facebook.com/100002476357508</v>
      </c>
      <c r="R891" t="s">
        <v>32</v>
      </c>
      <c r="S891" t="s">
        <v>33</v>
      </c>
      <c r="T891" t="s">
        <v>34</v>
      </c>
      <c r="U891" t="s">
        <v>41</v>
      </c>
      <c r="V891" t="s">
        <v>2583</v>
      </c>
    </row>
    <row r="892" spans="1:22" ht="16">
      <c r="A892" t="s">
        <v>2300</v>
      </c>
      <c r="B892" t="s">
        <v>2584</v>
      </c>
      <c r="C892" t="s">
        <v>80</v>
      </c>
      <c r="D892" t="s">
        <v>2585</v>
      </c>
      <c r="E892" t="s">
        <v>74</v>
      </c>
      <c r="F892" t="s">
        <v>3</v>
      </c>
      <c r="G892" t="str">
        <f>HYPERLINK("https://www.facebook.com/Yullita74/posts/pfbid02BZjihkK27iqC5RwM64mnjUDovVzxkgDhp5G4AQtRSsVRU4RyvTBpKYigtyDmfmQsl?comment_id=933501402531472")</f>
        <v>https://www.facebook.com/Yullita74/posts/pfbid02BZjihkK27iqC5RwM64mnjUDovVzxkgDhp5G4AQtRSsVRU4RyvTBpKYigtyDmfmQsl?comment_id=933501402531472</v>
      </c>
      <c r="H892" t="s">
        <v>28</v>
      </c>
      <c r="I892" t="s">
        <v>2586</v>
      </c>
      <c r="J892" t="s">
        <v>2587</v>
      </c>
      <c r="K892" t="str">
        <f>HYPERLINK("https://www.facebook.com/100002232077063")</f>
        <v>https://www.facebook.com/100002232077063</v>
      </c>
      <c r="M892" t="s">
        <v>30</v>
      </c>
      <c r="N892" t="s">
        <v>31</v>
      </c>
      <c r="O892" t="s">
        <v>2426</v>
      </c>
      <c r="P892" t="str">
        <f>HYPERLINK("https://www.facebook.com/100001450230363")</f>
        <v>https://www.facebook.com/100001450230363</v>
      </c>
      <c r="R892" t="s">
        <v>32</v>
      </c>
      <c r="S892" t="s">
        <v>85</v>
      </c>
      <c r="T892" t="s">
        <v>34</v>
      </c>
      <c r="U892" t="s">
        <v>899</v>
      </c>
      <c r="V892" t="s">
        <v>900</v>
      </c>
    </row>
    <row r="893" spans="1:22" ht="16">
      <c r="A893" t="s">
        <v>2300</v>
      </c>
      <c r="B893" t="s">
        <v>2584</v>
      </c>
      <c r="C893" t="s">
        <v>80</v>
      </c>
      <c r="D893" t="s">
        <v>2588</v>
      </c>
      <c r="E893" t="s">
        <v>74</v>
      </c>
      <c r="F893" t="s">
        <v>3</v>
      </c>
      <c r="G893" t="str">
        <f>HYPERLINK("https://www.facebook.com/Yullita74/posts/pfbid02BZjihkK27iqC5RwM64mnjUDovVzxkgDhp5G4AQtRSsVRU4RyvTBpKYigtyDmfmQsl?comment_id=1985407039044240")</f>
        <v>https://www.facebook.com/Yullita74/posts/pfbid02BZjihkK27iqC5RwM64mnjUDovVzxkgDhp5G4AQtRSsVRU4RyvTBpKYigtyDmfmQsl?comment_id=1985407039044240</v>
      </c>
      <c r="H893" t="s">
        <v>28</v>
      </c>
      <c r="I893" t="s">
        <v>2586</v>
      </c>
      <c r="J893" t="s">
        <v>2587</v>
      </c>
      <c r="K893" t="str">
        <f>HYPERLINK("https://www.facebook.com/100002232077063")</f>
        <v>https://www.facebook.com/100002232077063</v>
      </c>
      <c r="M893" t="s">
        <v>30</v>
      </c>
      <c r="N893" t="s">
        <v>31</v>
      </c>
      <c r="O893" t="s">
        <v>2426</v>
      </c>
      <c r="P893" t="str">
        <f>HYPERLINK("https://www.facebook.com/100001450230363")</f>
        <v>https://www.facebook.com/100001450230363</v>
      </c>
      <c r="R893" t="s">
        <v>32</v>
      </c>
      <c r="S893" t="s">
        <v>85</v>
      </c>
      <c r="T893" t="s">
        <v>34</v>
      </c>
      <c r="U893" t="s">
        <v>899</v>
      </c>
      <c r="V893" t="s">
        <v>900</v>
      </c>
    </row>
    <row r="894" spans="1:22" ht="16">
      <c r="A894" t="s">
        <v>2300</v>
      </c>
      <c r="B894" t="s">
        <v>2584</v>
      </c>
      <c r="C894" t="s">
        <v>80</v>
      </c>
      <c r="D894" t="s">
        <v>2589</v>
      </c>
      <c r="E894" t="s">
        <v>74</v>
      </c>
      <c r="F894" t="s">
        <v>3</v>
      </c>
      <c r="G894" t="str">
        <f>HYPERLINK("https://www.facebook.com/Yullita74/posts/pfbid02BZjihkK27iqC5RwM64mnjUDovVzxkgDhp5G4AQtRSsVRU4RyvTBpKYigtyDmfmQsl?comment_id=1718302376210110")</f>
        <v>https://www.facebook.com/Yullita74/posts/pfbid02BZjihkK27iqC5RwM64mnjUDovVzxkgDhp5G4AQtRSsVRU4RyvTBpKYigtyDmfmQsl?comment_id=1718302376210110</v>
      </c>
      <c r="H894" t="s">
        <v>28</v>
      </c>
      <c r="I894" t="s">
        <v>2586</v>
      </c>
      <c r="J894" t="s">
        <v>2587</v>
      </c>
      <c r="K894" t="str">
        <f>HYPERLINK("https://www.facebook.com/100002232077063")</f>
        <v>https://www.facebook.com/100002232077063</v>
      </c>
      <c r="M894" t="s">
        <v>30</v>
      </c>
      <c r="N894" t="s">
        <v>31</v>
      </c>
      <c r="O894" t="s">
        <v>2426</v>
      </c>
      <c r="P894" t="str">
        <f>HYPERLINK("https://www.facebook.com/100001450230363")</f>
        <v>https://www.facebook.com/100001450230363</v>
      </c>
      <c r="R894" t="s">
        <v>32</v>
      </c>
      <c r="S894" t="s">
        <v>188</v>
      </c>
      <c r="T894" t="s">
        <v>34</v>
      </c>
      <c r="U894" t="s">
        <v>899</v>
      </c>
      <c r="V894" t="s">
        <v>900</v>
      </c>
    </row>
    <row r="895" spans="1:22" ht="16">
      <c r="A895" t="s">
        <v>2300</v>
      </c>
      <c r="B895" t="s">
        <v>2584</v>
      </c>
      <c r="C895" t="s">
        <v>80</v>
      </c>
      <c r="D895" t="s">
        <v>2590</v>
      </c>
      <c r="E895" t="s">
        <v>74</v>
      </c>
      <c r="F895" t="s">
        <v>3</v>
      </c>
      <c r="G895" t="str">
        <f>HYPERLINK("https://www.facebook.com/Yullita74/posts/pfbid02BZjihkK27iqC5RwM64mnjUDovVzxkgDhp5G4AQtRSsVRU4RyvTBpKYigtyDmfmQsl?comment_id=2141542209715946")</f>
        <v>https://www.facebook.com/Yullita74/posts/pfbid02BZjihkK27iqC5RwM64mnjUDovVzxkgDhp5G4AQtRSsVRU4RyvTBpKYigtyDmfmQsl?comment_id=2141542209715946</v>
      </c>
      <c r="H895" t="s">
        <v>28</v>
      </c>
      <c r="I895" t="s">
        <v>2586</v>
      </c>
      <c r="J895" t="s">
        <v>2587</v>
      </c>
      <c r="K895" t="str">
        <f>HYPERLINK("https://www.facebook.com/100002232077063")</f>
        <v>https://www.facebook.com/100002232077063</v>
      </c>
      <c r="M895" t="s">
        <v>30</v>
      </c>
      <c r="N895" t="s">
        <v>31</v>
      </c>
      <c r="O895" t="s">
        <v>2426</v>
      </c>
      <c r="P895" t="str">
        <f>HYPERLINK("https://www.facebook.com/100001450230363")</f>
        <v>https://www.facebook.com/100001450230363</v>
      </c>
      <c r="R895" t="s">
        <v>32</v>
      </c>
      <c r="S895" t="s">
        <v>2591</v>
      </c>
      <c r="T895" t="s">
        <v>34</v>
      </c>
      <c r="U895" t="s">
        <v>899</v>
      </c>
      <c r="V895" t="s">
        <v>900</v>
      </c>
    </row>
    <row r="896" spans="1:22" ht="16">
      <c r="A896" t="s">
        <v>2300</v>
      </c>
      <c r="B896" t="s">
        <v>2592</v>
      </c>
      <c r="C896" t="s">
        <v>80</v>
      </c>
      <c r="D896" t="s">
        <v>2593</v>
      </c>
      <c r="E896" t="s">
        <v>74</v>
      </c>
      <c r="F896" t="s">
        <v>3</v>
      </c>
      <c r="G896" t="str">
        <f>HYPERLINK("https://www.facebook.com/Yullita74/posts/pfbid02BZjihkK27iqC5RwM64mnjUDovVzxkgDhp5G4AQtRSsVRU4RyvTBpKYigtyDmfmQsl?comment_id=930295899650275")</f>
        <v>https://www.facebook.com/Yullita74/posts/pfbid02BZjihkK27iqC5RwM64mnjUDovVzxkgDhp5G4AQtRSsVRU4RyvTBpKYigtyDmfmQsl?comment_id=930295899650275</v>
      </c>
      <c r="H896" t="s">
        <v>28</v>
      </c>
      <c r="I896" t="s">
        <v>2586</v>
      </c>
      <c r="J896" t="s">
        <v>2587</v>
      </c>
      <c r="K896" t="str">
        <f>HYPERLINK("https://www.facebook.com/100002232077063")</f>
        <v>https://www.facebook.com/100002232077063</v>
      </c>
      <c r="M896" t="s">
        <v>30</v>
      </c>
      <c r="N896" t="s">
        <v>31</v>
      </c>
      <c r="O896" t="s">
        <v>2426</v>
      </c>
      <c r="P896" t="str">
        <f>HYPERLINK("https://www.facebook.com/100001450230363")</f>
        <v>https://www.facebook.com/100001450230363</v>
      </c>
      <c r="R896" t="s">
        <v>32</v>
      </c>
      <c r="S896" t="s">
        <v>33</v>
      </c>
      <c r="T896" t="s">
        <v>34</v>
      </c>
      <c r="U896" t="s">
        <v>899</v>
      </c>
      <c r="V896" t="s">
        <v>900</v>
      </c>
    </row>
    <row r="897" spans="1:22" ht="16">
      <c r="A897" t="s">
        <v>2300</v>
      </c>
      <c r="B897" t="s">
        <v>2592</v>
      </c>
      <c r="C897" t="s">
        <v>768</v>
      </c>
      <c r="D897" t="s">
        <v>2594</v>
      </c>
      <c r="E897" t="s">
        <v>74</v>
      </c>
      <c r="F897" t="s">
        <v>3</v>
      </c>
      <c r="G897" t="str">
        <f>HYPERLINK("https://www.facebook.com/toyelviv/posts/pfbid02HyVHmdRrHaKvpJCV4k8sSATEQmB44tvrgpepSrJQ66Qs74jVAzPQ6qaz5ZMHUoNBl?comment_id=1272897384714068&amp;reply_comment_id=3794509214018108")</f>
        <v>https://www.facebook.com/toyelviv/posts/pfbid02HyVHmdRrHaKvpJCV4k8sSATEQmB44tvrgpepSrJQ66Qs74jVAzPQ6qaz5ZMHUoNBl?comment_id=1272897384714068&amp;reply_comment_id=3794509214018108</v>
      </c>
      <c r="H897" t="s">
        <v>28</v>
      </c>
      <c r="I897" t="s">
        <v>2579</v>
      </c>
      <c r="J897" t="s">
        <v>2580</v>
      </c>
      <c r="K897" t="str">
        <f>HYPERLINK("https://www.facebook.com/100001620027469")</f>
        <v>https://www.facebook.com/100001620027469</v>
      </c>
      <c r="M897" t="s">
        <v>40</v>
      </c>
      <c r="N897" t="s">
        <v>31</v>
      </c>
      <c r="O897" t="s">
        <v>1559</v>
      </c>
      <c r="P897" t="str">
        <f>HYPERLINK("https://www.facebook.com/320892981422193")</f>
        <v>https://www.facebook.com/320892981422193</v>
      </c>
      <c r="Q897">
        <v>293869</v>
      </c>
      <c r="R897" t="s">
        <v>32</v>
      </c>
      <c r="S897" t="s">
        <v>33</v>
      </c>
      <c r="T897" t="s">
        <v>34</v>
      </c>
      <c r="U897" t="s">
        <v>41</v>
      </c>
      <c r="V897" t="s">
        <v>42</v>
      </c>
    </row>
    <row r="898" spans="1:22" ht="16">
      <c r="A898" t="s">
        <v>2300</v>
      </c>
      <c r="B898" t="s">
        <v>2592</v>
      </c>
      <c r="C898" t="s">
        <v>80</v>
      </c>
      <c r="D898" t="s">
        <v>2595</v>
      </c>
      <c r="E898" t="s">
        <v>74</v>
      </c>
      <c r="F898" t="s">
        <v>3</v>
      </c>
      <c r="G898" t="str">
        <f>HYPERLINK("https://www.facebook.com/westukrnews/posts/pfbid05KpJzZfAmc7DG6HMNPojmy3FDtYQBjx33JCcksAdDUDGcWNSDnn66BSqDiowXeWol?comment_id=1549896779434517")</f>
        <v>https://www.facebook.com/westukrnews/posts/pfbid05KpJzZfAmc7DG6HMNPojmy3FDtYQBjx33JCcksAdDUDGcWNSDnn66BSqDiowXeWol?comment_id=1549896779434517</v>
      </c>
      <c r="H898" t="s">
        <v>28</v>
      </c>
      <c r="I898" t="s">
        <v>2596</v>
      </c>
      <c r="K898" t="str">
        <f>HYPERLINK("https://www.facebook.com/100024643712671")</f>
        <v>https://www.facebook.com/100024643712671</v>
      </c>
      <c r="M898" t="s">
        <v>30</v>
      </c>
      <c r="N898" t="s">
        <v>31</v>
      </c>
      <c r="O898" t="s">
        <v>813</v>
      </c>
      <c r="P898" t="str">
        <f>HYPERLINK("https://www.facebook.com/264234810584424")</f>
        <v>https://www.facebook.com/264234810584424</v>
      </c>
      <c r="Q898">
        <v>559985</v>
      </c>
      <c r="R898" t="s">
        <v>32</v>
      </c>
      <c r="S898" t="s">
        <v>33</v>
      </c>
      <c r="T898" t="s">
        <v>34</v>
      </c>
      <c r="U898" t="s">
        <v>167</v>
      </c>
      <c r="V898" t="s">
        <v>189</v>
      </c>
    </row>
    <row r="899" spans="1:22" ht="16">
      <c r="A899" t="s">
        <v>2300</v>
      </c>
      <c r="B899" t="s">
        <v>153</v>
      </c>
      <c r="C899" t="s">
        <v>768</v>
      </c>
      <c r="D899" t="s">
        <v>2597</v>
      </c>
      <c r="E899" t="s">
        <v>74</v>
      </c>
      <c r="F899" t="s">
        <v>3</v>
      </c>
      <c r="G899" t="str">
        <f>HYPERLINK("https://www.facebook.com/toyelviv/posts/pfbid02HyVHmdRrHaKvpJCV4k8sSATEQmB44tvrgpepSrJQ66Qs74jVAzPQ6qaz5ZMHUoNBl?comment_id=896032799951402&amp;reply_comment_id=1235321528816501")</f>
        <v>https://www.facebook.com/toyelviv/posts/pfbid02HyVHmdRrHaKvpJCV4k8sSATEQmB44tvrgpepSrJQ66Qs74jVAzPQ6qaz5ZMHUoNBl?comment_id=896032799951402&amp;reply_comment_id=1235321528816501</v>
      </c>
      <c r="H899" t="s">
        <v>28</v>
      </c>
      <c r="I899" t="s">
        <v>2598</v>
      </c>
      <c r="K899" t="str">
        <f>HYPERLINK("https://www.facebook.com/100008726705844")</f>
        <v>https://www.facebook.com/100008726705844</v>
      </c>
      <c r="M899" t="s">
        <v>30</v>
      </c>
      <c r="N899" t="s">
        <v>31</v>
      </c>
      <c r="O899" t="s">
        <v>1559</v>
      </c>
      <c r="P899" t="str">
        <f>HYPERLINK("https://www.facebook.com/320892981422193")</f>
        <v>https://www.facebook.com/320892981422193</v>
      </c>
      <c r="Q899">
        <v>293869</v>
      </c>
      <c r="R899" t="s">
        <v>32</v>
      </c>
      <c r="S899" t="s">
        <v>85</v>
      </c>
      <c r="T899" t="s">
        <v>2599</v>
      </c>
      <c r="U899" t="s">
        <v>2600</v>
      </c>
      <c r="V899" t="s">
        <v>2601</v>
      </c>
    </row>
    <row r="900" spans="1:20" ht="16">
      <c r="A900" t="s">
        <v>2300</v>
      </c>
      <c r="B900" t="s">
        <v>153</v>
      </c>
      <c r="C900" t="s">
        <v>768</v>
      </c>
      <c r="D900" t="s">
        <v>2602</v>
      </c>
      <c r="E900" t="s">
        <v>74</v>
      </c>
      <c r="F900" t="s">
        <v>3</v>
      </c>
      <c r="G900" t="str">
        <f>HYPERLINK("https://www.facebook.com/toyelviv/posts/pfbid02HyVHmdRrHaKvpJCV4k8sSATEQmB44tvrgpepSrJQ66Qs74jVAzPQ6qaz5ZMHUoNBl?comment_id=1272897384714068")</f>
        <v>https://www.facebook.com/toyelviv/posts/pfbid02HyVHmdRrHaKvpJCV4k8sSATEQmB44tvrgpepSrJQ66Qs74jVAzPQ6qaz5ZMHUoNBl?comment_id=1272897384714068</v>
      </c>
      <c r="H900" t="s">
        <v>28</v>
      </c>
      <c r="I900" t="s">
        <v>2603</v>
      </c>
      <c r="K900" t="str">
        <f>HYPERLINK("https://www.facebook.com/100024926503600")</f>
        <v>https://www.facebook.com/100024926503600</v>
      </c>
      <c r="M900" t="s">
        <v>40</v>
      </c>
      <c r="N900" t="s">
        <v>31</v>
      </c>
      <c r="O900" t="s">
        <v>1559</v>
      </c>
      <c r="P900" t="str">
        <f>HYPERLINK("https://www.facebook.com/320892981422193")</f>
        <v>https://www.facebook.com/320892981422193</v>
      </c>
      <c r="Q900">
        <v>293869</v>
      </c>
      <c r="R900" t="s">
        <v>32</v>
      </c>
      <c r="S900" t="s">
        <v>33</v>
      </c>
      <c r="T900" t="s">
        <v>34</v>
      </c>
    </row>
    <row r="901" spans="1:22" ht="16">
      <c r="A901" t="s">
        <v>2300</v>
      </c>
      <c r="B901" t="s">
        <v>153</v>
      </c>
      <c r="C901" t="s">
        <v>80</v>
      </c>
      <c r="D901" t="s">
        <v>2604</v>
      </c>
      <c r="E901" t="s">
        <v>74</v>
      </c>
      <c r="F901" t="s">
        <v>3</v>
      </c>
      <c r="G901" t="str">
        <f>HYPERLINK("https://www.facebook.com/permalink.php?story_fbid=pfbid02rbt51TUb57HR4F6gBd5FwSTuyaUp3gHvM6gsAExHboTPbUq2FdNvTKt3sBpRB8pml&amp;id=100006975138432&amp;comment_id=1459774322338189&amp;reply_comment_id=26347058384907145")</f>
        <v>https://www.facebook.com/permalink.php?story_fbid=pfbid02rbt51TUb57HR4F6gBd5FwSTuyaUp3gHvM6gsAExHboTPbUq2FdNvTKt3sBpRB8pml&amp;id=100006975138432&amp;comment_id=1459774322338189&amp;reply_comment_id=26347058384907145</v>
      </c>
      <c r="H901" t="s">
        <v>28</v>
      </c>
      <c r="I901" t="s">
        <v>2605</v>
      </c>
      <c r="K901" t="str">
        <f>HYPERLINK("https://www.facebook.com/100083772741626")</f>
        <v>https://www.facebook.com/100083772741626</v>
      </c>
      <c r="M901" t="s">
        <v>40</v>
      </c>
      <c r="N901" t="s">
        <v>31</v>
      </c>
      <c r="O901" t="s">
        <v>1399</v>
      </c>
      <c r="P901" t="str">
        <f>HYPERLINK("https://www.facebook.com/100006975138432")</f>
        <v>https://www.facebook.com/100006975138432</v>
      </c>
      <c r="R901" t="s">
        <v>32</v>
      </c>
      <c r="S901" t="s">
        <v>33</v>
      </c>
      <c r="T901" t="s">
        <v>34</v>
      </c>
      <c r="U901" t="s">
        <v>58</v>
      </c>
      <c r="V901" t="s">
        <v>58</v>
      </c>
    </row>
    <row r="902" spans="1:22" ht="16">
      <c r="A902" t="s">
        <v>2300</v>
      </c>
      <c r="B902" t="s">
        <v>1038</v>
      </c>
      <c r="C902" t="s">
        <v>768</v>
      </c>
      <c r="D902" t="s">
        <v>2606</v>
      </c>
      <c r="E902" t="s">
        <v>74</v>
      </c>
      <c r="F902" t="s">
        <v>3</v>
      </c>
      <c r="G902" t="str">
        <f>HYPERLINK("https://www.facebook.com/toyelviv/posts/pfbid02HyVHmdRrHaKvpJCV4k8sSATEQmB44tvrgpepSrJQ66Qs74jVAzPQ6qaz5ZMHUoNBl?comment_id=896032799951402")</f>
        <v>https://www.facebook.com/toyelviv/posts/pfbid02HyVHmdRrHaKvpJCV4k8sSATEQmB44tvrgpepSrJQ66Qs74jVAzPQ6qaz5ZMHUoNBl?comment_id=896032799951402</v>
      </c>
      <c r="H902" t="s">
        <v>28</v>
      </c>
      <c r="I902" t="s">
        <v>2607</v>
      </c>
      <c r="K902" t="str">
        <f>HYPERLINK("https://www.facebook.com/100010883588236")</f>
        <v>https://www.facebook.com/100010883588236</v>
      </c>
      <c r="M902" t="s">
        <v>40</v>
      </c>
      <c r="N902" t="s">
        <v>31</v>
      </c>
      <c r="O902" t="s">
        <v>1559</v>
      </c>
      <c r="P902" t="str">
        <f>HYPERLINK("https://www.facebook.com/320892981422193")</f>
        <v>https://www.facebook.com/320892981422193</v>
      </c>
      <c r="Q902">
        <v>293869</v>
      </c>
      <c r="R902" t="s">
        <v>32</v>
      </c>
      <c r="S902" t="s">
        <v>85</v>
      </c>
      <c r="T902" t="s">
        <v>34</v>
      </c>
      <c r="U902" t="s">
        <v>41</v>
      </c>
      <c r="V902" t="s">
        <v>42</v>
      </c>
    </row>
    <row r="903" spans="1:22" ht="16">
      <c r="A903" t="s">
        <v>2300</v>
      </c>
      <c r="B903" t="s">
        <v>1038</v>
      </c>
      <c r="C903" t="s">
        <v>80</v>
      </c>
      <c r="D903" t="s">
        <v>2608</v>
      </c>
      <c r="E903" t="s">
        <v>74</v>
      </c>
      <c r="F903" t="s">
        <v>3</v>
      </c>
      <c r="G903" t="str">
        <f>HYPERLINK("https://www.facebook.com/westukrnews/posts/pfbid05KpJzZfAmc7DG6HMNPojmy3FDtYQBjx33JCcksAdDUDGcWNSDnn66BSqDiowXeWol?comment_id=2311441095991608&amp;reply_comment_id=875278398880503")</f>
        <v>https://www.facebook.com/westukrnews/posts/pfbid05KpJzZfAmc7DG6HMNPojmy3FDtYQBjx33JCcksAdDUDGcWNSDnn66BSqDiowXeWol?comment_id=2311441095991608&amp;reply_comment_id=875278398880503</v>
      </c>
      <c r="H903" t="s">
        <v>28</v>
      </c>
      <c r="I903" t="s">
        <v>2609</v>
      </c>
      <c r="K903" t="str">
        <f>HYPERLINK("https://www.facebook.com/61557733264386")</f>
        <v>https://www.facebook.com/61557733264386</v>
      </c>
      <c r="M903" t="s">
        <v>30</v>
      </c>
      <c r="N903" t="s">
        <v>31</v>
      </c>
      <c r="O903" t="s">
        <v>813</v>
      </c>
      <c r="P903" t="str">
        <f>HYPERLINK("https://www.facebook.com/264234810584424")</f>
        <v>https://www.facebook.com/264234810584424</v>
      </c>
      <c r="Q903">
        <v>559985</v>
      </c>
      <c r="R903" t="s">
        <v>32</v>
      </c>
      <c r="S903" t="s">
        <v>85</v>
      </c>
      <c r="T903" t="s">
        <v>34</v>
      </c>
      <c r="U903" t="s">
        <v>167</v>
      </c>
      <c r="V903" t="s">
        <v>870</v>
      </c>
    </row>
    <row r="904" spans="1:22" ht="16">
      <c r="A904" t="s">
        <v>2300</v>
      </c>
      <c r="B904" t="s">
        <v>2610</v>
      </c>
      <c r="C904" t="s">
        <v>80</v>
      </c>
      <c r="D904" t="s">
        <v>2611</v>
      </c>
      <c r="E904" t="s">
        <v>74</v>
      </c>
      <c r="F904" t="s">
        <v>3</v>
      </c>
      <c r="G904" t="str">
        <f>HYPERLINK("https://www.facebook.com/westukrnews/posts/pfbid05KpJzZfAmc7DG6HMNPojmy3FDtYQBjx33JCcksAdDUDGcWNSDnn66BSqDiowXeWol?comment_id=1277012394347450")</f>
        <v>https://www.facebook.com/westukrnews/posts/pfbid05KpJzZfAmc7DG6HMNPojmy3FDtYQBjx33JCcksAdDUDGcWNSDnn66BSqDiowXeWol?comment_id=1277012394347450</v>
      </c>
      <c r="H904" t="s">
        <v>28</v>
      </c>
      <c r="I904" t="s">
        <v>2612</v>
      </c>
      <c r="K904" t="str">
        <f>HYPERLINK("https://www.facebook.com/100022756491047")</f>
        <v>https://www.facebook.com/100022756491047</v>
      </c>
      <c r="M904" t="s">
        <v>30</v>
      </c>
      <c r="N904" t="s">
        <v>31</v>
      </c>
      <c r="O904" t="s">
        <v>813</v>
      </c>
      <c r="P904" t="str">
        <f>HYPERLINK("https://www.facebook.com/264234810584424")</f>
        <v>https://www.facebook.com/264234810584424</v>
      </c>
      <c r="Q904">
        <v>559985</v>
      </c>
      <c r="R904" t="s">
        <v>32</v>
      </c>
      <c r="S904" t="s">
        <v>33</v>
      </c>
      <c r="T904" t="s">
        <v>1761</v>
      </c>
      <c r="U904" t="s">
        <v>2613</v>
      </c>
      <c r="V904" t="s">
        <v>2614</v>
      </c>
    </row>
    <row r="905" spans="1:20" ht="16">
      <c r="A905" t="s">
        <v>2300</v>
      </c>
      <c r="B905" t="s">
        <v>2610</v>
      </c>
      <c r="C905" t="s">
        <v>24</v>
      </c>
      <c r="D905" t="s">
        <v>2007</v>
      </c>
      <c r="E905" t="s">
        <v>45</v>
      </c>
      <c r="F905" t="s">
        <v>281</v>
      </c>
      <c r="G905" t="str">
        <f>HYPERLINK("https://twitter.com/seetolearnukr/status/2027473342832267511")</f>
        <v>https://twitter.com/seetolearnukr/status/2027473342832267511</v>
      </c>
      <c r="H905" t="s">
        <v>28</v>
      </c>
      <c r="I905" t="s">
        <v>2615</v>
      </c>
      <c r="J905" t="s">
        <v>2616</v>
      </c>
      <c r="K905" t="str">
        <f>HYPERLINK("http://twitter.com/seetolearnukr")</f>
        <v>http://twitter.com/seetolearnukr</v>
      </c>
      <c r="L905">
        <v>447</v>
      </c>
      <c r="N905" t="s">
        <v>278</v>
      </c>
      <c r="R905" t="s">
        <v>32</v>
      </c>
      <c r="S905" t="s">
        <v>33</v>
      </c>
      <c r="T905" t="s">
        <v>34</v>
      </c>
    </row>
    <row r="906" spans="1:20" ht="16">
      <c r="A906" t="s">
        <v>2300</v>
      </c>
      <c r="B906" t="s">
        <v>155</v>
      </c>
      <c r="C906" t="s">
        <v>24</v>
      </c>
      <c r="D906" t="s">
        <v>2276</v>
      </c>
      <c r="E906" t="s">
        <v>45</v>
      </c>
      <c r="F906" t="s">
        <v>3</v>
      </c>
      <c r="G906" t="str">
        <f>HYPERLINK("https://twitter.com/russ0lan/status/2027473011293462847")</f>
        <v>https://twitter.com/russ0lan/status/2027473011293462847</v>
      </c>
      <c r="H906" t="s">
        <v>28</v>
      </c>
      <c r="I906" t="s">
        <v>2617</v>
      </c>
      <c r="J906" t="s">
        <v>2618</v>
      </c>
      <c r="K906" t="str">
        <f>HYPERLINK("http://twitter.com/russ0lan")</f>
        <v>http://twitter.com/russ0lan</v>
      </c>
      <c r="L906">
        <v>66</v>
      </c>
      <c r="N906" t="s">
        <v>278</v>
      </c>
      <c r="R906" t="s">
        <v>32</v>
      </c>
      <c r="S906" t="s">
        <v>33</v>
      </c>
      <c r="T906" t="s">
        <v>34</v>
      </c>
    </row>
    <row r="907" spans="1:20" ht="16">
      <c r="A907" t="s">
        <v>2300</v>
      </c>
      <c r="B907" t="s">
        <v>155</v>
      </c>
      <c r="C907" t="s">
        <v>24</v>
      </c>
      <c r="D907" t="s">
        <v>2007</v>
      </c>
      <c r="E907" t="s">
        <v>45</v>
      </c>
      <c r="F907" t="s">
        <v>281</v>
      </c>
      <c r="G907" t="str">
        <f>HYPERLINK("https://twitter.com/drucapups/status/2027472974635303254")</f>
        <v>https://twitter.com/drucapups/status/2027472974635303254</v>
      </c>
      <c r="H907" t="s">
        <v>28</v>
      </c>
      <c r="I907" t="s">
        <v>2619</v>
      </c>
      <c r="J907" t="s">
        <v>2620</v>
      </c>
      <c r="K907" t="str">
        <f>HYPERLINK("http://twitter.com/drucapups")</f>
        <v>http://twitter.com/drucapups</v>
      </c>
      <c r="L907">
        <v>223</v>
      </c>
      <c r="N907" t="s">
        <v>278</v>
      </c>
      <c r="R907" t="s">
        <v>32</v>
      </c>
      <c r="S907" t="s">
        <v>33</v>
      </c>
      <c r="T907" t="s">
        <v>34</v>
      </c>
    </row>
    <row r="908" spans="1:22" ht="16">
      <c r="A908" t="s">
        <v>2300</v>
      </c>
      <c r="B908" t="s">
        <v>160</v>
      </c>
      <c r="C908" t="s">
        <v>80</v>
      </c>
      <c r="D908" t="s">
        <v>2621</v>
      </c>
      <c r="E908" t="s">
        <v>74</v>
      </c>
      <c r="F908" t="s">
        <v>3</v>
      </c>
      <c r="G908" t="str">
        <f>HYPERLINK("https://www.facebook.com/westukrnews/posts/pfbid05KpJzZfAmc7DG6HMNPojmy3FDtYQBjx33JCcksAdDUDGcWNSDnn66BSqDiowXeWol?comment_id=2566007217127136")</f>
        <v>https://www.facebook.com/westukrnews/posts/pfbid05KpJzZfAmc7DG6HMNPojmy3FDtYQBjx33JCcksAdDUDGcWNSDnn66BSqDiowXeWol?comment_id=2566007217127136</v>
      </c>
      <c r="H908" t="s">
        <v>28</v>
      </c>
      <c r="I908" t="s">
        <v>2352</v>
      </c>
      <c r="K908" t="str">
        <f>HYPERLINK("https://www.facebook.com/100014543760221")</f>
        <v>https://www.facebook.com/100014543760221</v>
      </c>
      <c r="M908" t="s">
        <v>40</v>
      </c>
      <c r="N908" t="s">
        <v>31</v>
      </c>
      <c r="O908" t="s">
        <v>813</v>
      </c>
      <c r="P908" t="str">
        <f>HYPERLINK("https://www.facebook.com/264234810584424")</f>
        <v>https://www.facebook.com/264234810584424</v>
      </c>
      <c r="Q908">
        <v>559985</v>
      </c>
      <c r="R908" t="s">
        <v>32</v>
      </c>
      <c r="S908" t="s">
        <v>33</v>
      </c>
      <c r="T908" t="s">
        <v>34</v>
      </c>
      <c r="U908" t="s">
        <v>265</v>
      </c>
      <c r="V908" t="s">
        <v>1863</v>
      </c>
    </row>
    <row r="909" spans="1:22" ht="16">
      <c r="A909" t="s">
        <v>2300</v>
      </c>
      <c r="B909" t="s">
        <v>2622</v>
      </c>
      <c r="C909" t="s">
        <v>24</v>
      </c>
      <c r="D909" t="s">
        <v>2623</v>
      </c>
      <c r="E909" t="s">
        <v>26</v>
      </c>
      <c r="F909" t="s">
        <v>2404</v>
      </c>
      <c r="G909" t="str">
        <f>HYPERLINK("https://twitter.com/Provsete/status/2027472485872988537")</f>
        <v>https://twitter.com/Provsete/status/2027472485872988537</v>
      </c>
      <c r="H909" t="s">
        <v>28</v>
      </c>
      <c r="I909" t="s">
        <v>2624</v>
      </c>
      <c r="J909" t="s">
        <v>2625</v>
      </c>
      <c r="K909" t="str">
        <f>HYPERLINK("http://twitter.com/Provsete")</f>
        <v>http://twitter.com/Provsete</v>
      </c>
      <c r="L909">
        <v>912</v>
      </c>
      <c r="M909" t="s">
        <v>40</v>
      </c>
      <c r="N909" t="s">
        <v>278</v>
      </c>
      <c r="R909" t="s">
        <v>32</v>
      </c>
      <c r="S909" t="s">
        <v>33</v>
      </c>
      <c r="T909" t="s">
        <v>34</v>
      </c>
      <c r="U909" t="s">
        <v>309</v>
      </c>
      <c r="V909" t="s">
        <v>606</v>
      </c>
    </row>
    <row r="910" spans="1:22" ht="16">
      <c r="A910" t="s">
        <v>2300</v>
      </c>
      <c r="B910" t="s">
        <v>2622</v>
      </c>
      <c r="C910" t="s">
        <v>80</v>
      </c>
      <c r="D910" t="s">
        <v>2626</v>
      </c>
      <c r="E910" t="s">
        <v>74</v>
      </c>
      <c r="F910" t="s">
        <v>3</v>
      </c>
      <c r="G910" t="str">
        <f>HYPERLINK("https://www.facebook.com/westukrnews/posts/pfbid05KpJzZfAmc7DG6HMNPojmy3FDtYQBjx33JCcksAdDUDGcWNSDnn66BSqDiowXeWol?comment_id=1472020541292774")</f>
        <v>https://www.facebook.com/westukrnews/posts/pfbid05KpJzZfAmc7DG6HMNPojmy3FDtYQBjx33JCcksAdDUDGcWNSDnn66BSqDiowXeWol?comment_id=1472020541292774</v>
      </c>
      <c r="H910" t="s">
        <v>28</v>
      </c>
      <c r="I910" t="s">
        <v>2627</v>
      </c>
      <c r="K910" t="str">
        <f>HYPERLINK("https://www.facebook.com/61553333707771")</f>
        <v>https://www.facebook.com/61553333707771</v>
      </c>
      <c r="M910" t="s">
        <v>30</v>
      </c>
      <c r="N910" t="s">
        <v>31</v>
      </c>
      <c r="O910" t="s">
        <v>813</v>
      </c>
      <c r="P910" t="str">
        <f>HYPERLINK("https://www.facebook.com/264234810584424")</f>
        <v>https://www.facebook.com/264234810584424</v>
      </c>
      <c r="Q910">
        <v>559985</v>
      </c>
      <c r="R910" t="s">
        <v>32</v>
      </c>
      <c r="S910" t="s">
        <v>33</v>
      </c>
      <c r="T910" t="s">
        <v>240</v>
      </c>
      <c r="U910" t="s">
        <v>926</v>
      </c>
      <c r="V910" t="s">
        <v>2628</v>
      </c>
    </row>
    <row r="911" spans="1:22" ht="16">
      <c r="A911" t="s">
        <v>2300</v>
      </c>
      <c r="B911" t="s">
        <v>1048</v>
      </c>
      <c r="C911" t="s">
        <v>80</v>
      </c>
      <c r="D911" t="s">
        <v>2629</v>
      </c>
      <c r="E911" t="s">
        <v>74</v>
      </c>
      <c r="F911" t="s">
        <v>3</v>
      </c>
      <c r="G911" t="str">
        <f>HYPERLINK("https://www.facebook.com/permalink.php?story_fbid=pfbid02rbt51TUb57HR4F6gBd5FwSTuyaUp3gHvM6gsAExHboTPbUq2FdNvTKt3sBpRB8pml&amp;id=100006975138432&amp;comment_id=1459774322338189&amp;reply_comment_id=1955452852517607")</f>
        <v>https://www.facebook.com/permalink.php?story_fbid=pfbid02rbt51TUb57HR4F6gBd5FwSTuyaUp3gHvM6gsAExHboTPbUq2FdNvTKt3sBpRB8pml&amp;id=100006975138432&amp;comment_id=1459774322338189&amp;reply_comment_id=1955452852517607</v>
      </c>
      <c r="H911" t="s">
        <v>28</v>
      </c>
      <c r="I911" t="s">
        <v>1399</v>
      </c>
      <c r="K911" t="str">
        <f>HYPERLINK("https://www.facebook.com/100006975138432")</f>
        <v>https://www.facebook.com/100006975138432</v>
      </c>
      <c r="M911" t="s">
        <v>40</v>
      </c>
      <c r="N911" t="s">
        <v>31</v>
      </c>
      <c r="O911" t="s">
        <v>1399</v>
      </c>
      <c r="P911" t="str">
        <f>HYPERLINK("https://www.facebook.com/100006975138432")</f>
        <v>https://www.facebook.com/100006975138432</v>
      </c>
      <c r="R911" t="s">
        <v>32</v>
      </c>
      <c r="S911" t="s">
        <v>33</v>
      </c>
      <c r="T911" t="s">
        <v>34</v>
      </c>
      <c r="U911" t="s">
        <v>58</v>
      </c>
      <c r="V911" t="s">
        <v>58</v>
      </c>
    </row>
    <row r="912" spans="1:20" ht="16">
      <c r="A912" t="s">
        <v>2300</v>
      </c>
      <c r="B912" t="s">
        <v>2630</v>
      </c>
      <c r="C912" t="s">
        <v>768</v>
      </c>
      <c r="D912" t="s">
        <v>2631</v>
      </c>
      <c r="E912" t="s">
        <v>74</v>
      </c>
      <c r="F912" t="s">
        <v>3</v>
      </c>
      <c r="G912" t="str">
        <f>HYPERLINK("https://www.facebook.com/toyelviv/posts/pfbid02HyVHmdRrHaKvpJCV4k8sSATEQmB44tvrgpepSrJQ66Qs74jVAzPQ6qaz5ZMHUoNBl?comment_id=922959543819441&amp;reply_comment_id=918840244061826")</f>
        <v>https://www.facebook.com/toyelviv/posts/pfbid02HyVHmdRrHaKvpJCV4k8sSATEQmB44tvrgpepSrJQ66Qs74jVAzPQ6qaz5ZMHUoNBl?comment_id=922959543819441&amp;reply_comment_id=918840244061826</v>
      </c>
      <c r="H912" t="s">
        <v>28</v>
      </c>
      <c r="I912" t="s">
        <v>2632</v>
      </c>
      <c r="K912" t="str">
        <f>HYPERLINK("https://www.facebook.com/1841223892")</f>
        <v>https://www.facebook.com/1841223892</v>
      </c>
      <c r="M912" t="s">
        <v>30</v>
      </c>
      <c r="N912" t="s">
        <v>31</v>
      </c>
      <c r="O912" t="s">
        <v>1559</v>
      </c>
      <c r="P912" t="str">
        <f>HYPERLINK("https://www.facebook.com/320892981422193")</f>
        <v>https://www.facebook.com/320892981422193</v>
      </c>
      <c r="Q912">
        <v>293869</v>
      </c>
      <c r="R912" t="s">
        <v>32</v>
      </c>
      <c r="S912" t="s">
        <v>33</v>
      </c>
      <c r="T912" t="s">
        <v>34</v>
      </c>
    </row>
    <row r="913" spans="1:20" ht="16">
      <c r="A913" t="s">
        <v>2300</v>
      </c>
      <c r="B913" t="s">
        <v>2630</v>
      </c>
      <c r="C913" t="s">
        <v>24</v>
      </c>
      <c r="D913" t="s">
        <v>2007</v>
      </c>
      <c r="E913" t="s">
        <v>45</v>
      </c>
      <c r="F913" t="s">
        <v>281</v>
      </c>
      <c r="G913" t="str">
        <f>HYPERLINK("https://twitter.com/AlenaPosh1/status/2027471934242623821")</f>
        <v>https://twitter.com/AlenaPosh1/status/2027471934242623821</v>
      </c>
      <c r="H913" t="s">
        <v>28</v>
      </c>
      <c r="I913" t="s">
        <v>2633</v>
      </c>
      <c r="J913" t="s">
        <v>2634</v>
      </c>
      <c r="K913" t="str">
        <f>HYPERLINK("http://twitter.com/AlenaPosh1")</f>
        <v>http://twitter.com/AlenaPosh1</v>
      </c>
      <c r="L913">
        <v>1310</v>
      </c>
      <c r="N913" t="s">
        <v>278</v>
      </c>
      <c r="R913" t="s">
        <v>32</v>
      </c>
      <c r="S913" t="s">
        <v>33</v>
      </c>
      <c r="T913" t="s">
        <v>62</v>
      </c>
    </row>
    <row r="914" spans="1:20" ht="16">
      <c r="A914" t="s">
        <v>2300</v>
      </c>
      <c r="B914" t="s">
        <v>1052</v>
      </c>
      <c r="C914" t="s">
        <v>24</v>
      </c>
      <c r="D914" t="s">
        <v>2635</v>
      </c>
      <c r="E914" t="s">
        <v>26</v>
      </c>
      <c r="F914" t="s">
        <v>55</v>
      </c>
      <c r="G914" t="str">
        <f>HYPERLINK("https://www.facebook.com/25471092279240656")</f>
        <v>https://www.facebook.com/25471092279240656</v>
      </c>
      <c r="H914" t="s">
        <v>28</v>
      </c>
      <c r="I914" t="s">
        <v>807</v>
      </c>
      <c r="K914" t="str">
        <f>HYPERLINK("https://www.facebook.com/100063787020118")</f>
        <v>https://www.facebook.com/100063787020118</v>
      </c>
      <c r="N914" t="s">
        <v>31</v>
      </c>
      <c r="O914" t="s">
        <v>1387</v>
      </c>
      <c r="P914" t="str">
        <f>HYPERLINK("https://www.facebook.com/123664454410121")</f>
        <v>https://www.facebook.com/123664454410121</v>
      </c>
      <c r="Q914">
        <v>2367</v>
      </c>
      <c r="R914" t="s">
        <v>32</v>
      </c>
      <c r="S914" t="s">
        <v>33</v>
      </c>
      <c r="T914" t="s">
        <v>34</v>
      </c>
    </row>
    <row r="915" spans="1:22" ht="16">
      <c r="A915" t="s">
        <v>2300</v>
      </c>
      <c r="B915" t="s">
        <v>2636</v>
      </c>
      <c r="C915" t="s">
        <v>24</v>
      </c>
      <c r="D915" t="s">
        <v>2637</v>
      </c>
      <c r="E915" t="s">
        <v>26</v>
      </c>
      <c r="F915" t="s">
        <v>55</v>
      </c>
      <c r="G915" t="str">
        <f>HYPERLINK("https://www.facebook.com/1476594541143433")</f>
        <v>https://www.facebook.com/1476594541143433</v>
      </c>
      <c r="H915" t="s">
        <v>28</v>
      </c>
      <c r="I915" t="s">
        <v>807</v>
      </c>
      <c r="K915" t="str">
        <f>HYPERLINK("https://www.facebook.com/147172468676437")</f>
        <v>https://www.facebook.com/147172468676437</v>
      </c>
      <c r="L915">
        <v>84926</v>
      </c>
      <c r="M915" t="s">
        <v>345</v>
      </c>
      <c r="N915" t="s">
        <v>31</v>
      </c>
      <c r="O915" t="s">
        <v>807</v>
      </c>
      <c r="P915" t="str">
        <f>HYPERLINK("https://www.facebook.com/147172468676437")</f>
        <v>https://www.facebook.com/147172468676437</v>
      </c>
      <c r="Q915">
        <v>84926</v>
      </c>
      <c r="R915" t="s">
        <v>32</v>
      </c>
      <c r="S915" t="s">
        <v>33</v>
      </c>
      <c r="T915" t="s">
        <v>34</v>
      </c>
      <c r="U915" t="s">
        <v>309</v>
      </c>
      <c r="V915" t="s">
        <v>2638</v>
      </c>
    </row>
    <row r="916" spans="1:20" ht="16">
      <c r="A916" t="s">
        <v>2300</v>
      </c>
      <c r="B916" t="s">
        <v>2636</v>
      </c>
      <c r="C916" t="s">
        <v>24</v>
      </c>
      <c r="D916" t="s">
        <v>2007</v>
      </c>
      <c r="E916" t="s">
        <v>45</v>
      </c>
      <c r="F916" t="s">
        <v>281</v>
      </c>
      <c r="G916" t="str">
        <f>HYPERLINK("https://twitter.com/UaMaxx/status/2027471505685164093")</f>
        <v>https://twitter.com/UaMaxx/status/2027471505685164093</v>
      </c>
      <c r="H916" t="s">
        <v>28</v>
      </c>
      <c r="I916" t="s">
        <v>2639</v>
      </c>
      <c r="J916" t="s">
        <v>2640</v>
      </c>
      <c r="K916" t="str">
        <f>HYPERLINK("http://twitter.com/UaMaxx")</f>
        <v>http://twitter.com/UaMaxx</v>
      </c>
      <c r="L916">
        <v>88</v>
      </c>
      <c r="N916" t="s">
        <v>278</v>
      </c>
      <c r="R916" t="s">
        <v>32</v>
      </c>
      <c r="S916" t="s">
        <v>33</v>
      </c>
      <c r="T916" t="s">
        <v>34</v>
      </c>
    </row>
    <row r="917" spans="1:22" ht="16">
      <c r="A917" t="s">
        <v>2300</v>
      </c>
      <c r="B917" t="s">
        <v>2636</v>
      </c>
      <c r="C917" t="s">
        <v>768</v>
      </c>
      <c r="D917" t="s">
        <v>2641</v>
      </c>
      <c r="E917" t="s">
        <v>74</v>
      </c>
      <c r="F917" t="s">
        <v>3</v>
      </c>
      <c r="G917" t="str">
        <f>HYPERLINK("https://www.facebook.com/toyelviv/posts/pfbid02HyVHmdRrHaKvpJCV4k8sSATEQmB44tvrgpepSrJQ66Qs74jVAzPQ6qaz5ZMHUoNBl?comment_id=1431172071259793&amp;reply_comment_id=1454909212695591")</f>
        <v>https://www.facebook.com/toyelviv/posts/pfbid02HyVHmdRrHaKvpJCV4k8sSATEQmB44tvrgpepSrJQ66Qs74jVAzPQ6qaz5ZMHUoNBl?comment_id=1431172071259793&amp;reply_comment_id=1454909212695591</v>
      </c>
      <c r="H917" t="s">
        <v>28</v>
      </c>
      <c r="I917" t="s">
        <v>2642</v>
      </c>
      <c r="K917" t="str">
        <f>HYPERLINK("https://www.facebook.com/100005813474962")</f>
        <v>https://www.facebook.com/100005813474962</v>
      </c>
      <c r="M917" t="s">
        <v>40</v>
      </c>
      <c r="N917" t="s">
        <v>31</v>
      </c>
      <c r="O917" t="s">
        <v>1559</v>
      </c>
      <c r="P917" t="str">
        <f>HYPERLINK("https://www.facebook.com/320892981422193")</f>
        <v>https://www.facebook.com/320892981422193</v>
      </c>
      <c r="Q917">
        <v>293869</v>
      </c>
      <c r="R917" t="s">
        <v>32</v>
      </c>
      <c r="S917" t="s">
        <v>1776</v>
      </c>
      <c r="T917" t="s">
        <v>34</v>
      </c>
      <c r="U917" t="s">
        <v>41</v>
      </c>
      <c r="V917" t="s">
        <v>42</v>
      </c>
    </row>
    <row r="918" spans="1:22" ht="16">
      <c r="A918" t="s">
        <v>2300</v>
      </c>
      <c r="B918" t="s">
        <v>2643</v>
      </c>
      <c r="C918" t="s">
        <v>80</v>
      </c>
      <c r="D918" t="s">
        <v>2644</v>
      </c>
      <c r="E918" t="s">
        <v>74</v>
      </c>
      <c r="F918" t="s">
        <v>3</v>
      </c>
      <c r="G918" t="str">
        <f>HYPERLINK("https://www.facebook.com/westukrnews/posts/pfbid05KpJzZfAmc7DG6HMNPojmy3FDtYQBjx33JCcksAdDUDGcWNSDnn66BSqDiowXeWol?comment_id=2341962499615964")</f>
        <v>https://www.facebook.com/westukrnews/posts/pfbid05KpJzZfAmc7DG6HMNPojmy3FDtYQBjx33JCcksAdDUDGcWNSDnn66BSqDiowXeWol?comment_id=2341962499615964</v>
      </c>
      <c r="H918" t="s">
        <v>28</v>
      </c>
      <c r="I918" t="s">
        <v>2607</v>
      </c>
      <c r="K918" t="str">
        <f>HYPERLINK("https://www.facebook.com/100010883588236")</f>
        <v>https://www.facebook.com/100010883588236</v>
      </c>
      <c r="M918" t="s">
        <v>40</v>
      </c>
      <c r="N918" t="s">
        <v>31</v>
      </c>
      <c r="O918" t="s">
        <v>813</v>
      </c>
      <c r="P918" t="str">
        <f>HYPERLINK("https://www.facebook.com/264234810584424")</f>
        <v>https://www.facebook.com/264234810584424</v>
      </c>
      <c r="Q918">
        <v>559985</v>
      </c>
      <c r="R918" t="s">
        <v>32</v>
      </c>
      <c r="S918" t="s">
        <v>85</v>
      </c>
      <c r="T918" t="s">
        <v>34</v>
      </c>
      <c r="U918" t="s">
        <v>41</v>
      </c>
      <c r="V918" t="s">
        <v>42</v>
      </c>
    </row>
    <row r="919" spans="1:22" ht="16">
      <c r="A919" t="s">
        <v>2300</v>
      </c>
      <c r="B919" t="s">
        <v>2643</v>
      </c>
      <c r="C919" t="s">
        <v>80</v>
      </c>
      <c r="D919" t="s">
        <v>2645</v>
      </c>
      <c r="E919" t="s">
        <v>74</v>
      </c>
      <c r="F919" t="s">
        <v>3</v>
      </c>
      <c r="G919" t="str">
        <f>HYPERLINK("https://www.facebook.com/westukrnews/posts/pfbid05KpJzZfAmc7DG6HMNPojmy3FDtYQBjx33JCcksAdDUDGcWNSDnn66BSqDiowXeWol?comment_id=935689826074659")</f>
        <v>https://www.facebook.com/westukrnews/posts/pfbid05KpJzZfAmc7DG6HMNPojmy3FDtYQBjx33JCcksAdDUDGcWNSDnn66BSqDiowXeWol?comment_id=935689826074659</v>
      </c>
      <c r="H919" t="s">
        <v>28</v>
      </c>
      <c r="I919" t="s">
        <v>2646</v>
      </c>
      <c r="K919" t="str">
        <f>HYPERLINK("https://www.facebook.com/100037338657223")</f>
        <v>https://www.facebook.com/100037338657223</v>
      </c>
      <c r="M919" t="s">
        <v>40</v>
      </c>
      <c r="N919" t="s">
        <v>31</v>
      </c>
      <c r="O919" t="s">
        <v>813</v>
      </c>
      <c r="P919" t="str">
        <f>HYPERLINK("https://www.facebook.com/264234810584424")</f>
        <v>https://www.facebook.com/264234810584424</v>
      </c>
      <c r="Q919">
        <v>559985</v>
      </c>
      <c r="R919" t="s">
        <v>32</v>
      </c>
      <c r="S919" t="s">
        <v>85</v>
      </c>
      <c r="T919" t="s">
        <v>34</v>
      </c>
      <c r="U919" t="s">
        <v>487</v>
      </c>
      <c r="V919" t="s">
        <v>814</v>
      </c>
    </row>
    <row r="920" spans="1:22" ht="16">
      <c r="A920" t="s">
        <v>2300</v>
      </c>
      <c r="B920" t="s">
        <v>2647</v>
      </c>
      <c r="C920" t="s">
        <v>24</v>
      </c>
      <c r="D920" t="s">
        <v>44</v>
      </c>
      <c r="E920" t="s">
        <v>45</v>
      </c>
      <c r="F920" t="s">
        <v>46</v>
      </c>
      <c r="G920" t="str">
        <f>HYPERLINK("https://www.facebook.com/3550116161818690")</f>
        <v>https://www.facebook.com/3550116161818690</v>
      </c>
      <c r="H920" t="s">
        <v>28</v>
      </c>
      <c r="I920" t="s">
        <v>1606</v>
      </c>
      <c r="K920" t="str">
        <f>HYPERLINK("https://www.facebook.com/100004610234549")</f>
        <v>https://www.facebook.com/100004610234549</v>
      </c>
      <c r="M920" t="s">
        <v>40</v>
      </c>
      <c r="N920" t="s">
        <v>31</v>
      </c>
      <c r="O920" t="s">
        <v>1606</v>
      </c>
      <c r="P920" t="str">
        <f>HYPERLINK("https://www.facebook.com/100004610234549")</f>
        <v>https://www.facebook.com/100004610234549</v>
      </c>
      <c r="R920" t="s">
        <v>32</v>
      </c>
      <c r="S920" t="s">
        <v>33</v>
      </c>
      <c r="T920" t="s">
        <v>34</v>
      </c>
      <c r="U920" t="s">
        <v>58</v>
      </c>
      <c r="V920" t="s">
        <v>58</v>
      </c>
    </row>
    <row r="921" spans="1:22" ht="16">
      <c r="A921" t="s">
        <v>2300</v>
      </c>
      <c r="B921" t="s">
        <v>2647</v>
      </c>
      <c r="C921" t="s">
        <v>24</v>
      </c>
      <c r="D921" t="s">
        <v>2276</v>
      </c>
      <c r="E921" t="s">
        <v>45</v>
      </c>
      <c r="F921" t="s">
        <v>3</v>
      </c>
      <c r="G921" t="str">
        <f>HYPERLINK("https://twitter.com/vxlF9INUp5jK8Vl/status/2027470956306808902")</f>
        <v>https://twitter.com/vxlF9INUp5jK8Vl/status/2027470956306808902</v>
      </c>
      <c r="H921" t="s">
        <v>28</v>
      </c>
      <c r="I921" t="s">
        <v>2648</v>
      </c>
      <c r="J921" t="s">
        <v>2649</v>
      </c>
      <c r="K921" t="str">
        <f>HYPERLINK("http://twitter.com/vxlF9INUp5jK8Vl")</f>
        <v>http://twitter.com/vxlF9INUp5jK8Vl</v>
      </c>
      <c r="L921">
        <v>61</v>
      </c>
      <c r="M921" t="s">
        <v>40</v>
      </c>
      <c r="N921" t="s">
        <v>278</v>
      </c>
      <c r="R921" t="s">
        <v>32</v>
      </c>
      <c r="S921" t="s">
        <v>33</v>
      </c>
      <c r="T921" t="s">
        <v>34</v>
      </c>
      <c r="U921" t="s">
        <v>58</v>
      </c>
      <c r="V921" t="s">
        <v>58</v>
      </c>
    </row>
    <row r="922" spans="1:20" ht="16">
      <c r="A922" t="s">
        <v>2300</v>
      </c>
      <c r="B922" t="s">
        <v>2647</v>
      </c>
      <c r="C922" t="s">
        <v>2650</v>
      </c>
      <c r="D922" t="s">
        <v>2651</v>
      </c>
      <c r="E922" t="s">
        <v>26</v>
      </c>
      <c r="F922" t="s">
        <v>342</v>
      </c>
      <c r="G922" t="str">
        <f>HYPERLINK("https://provse.te.ua/2026/02/donka-mera-ternopolia-serhiia-nadala-prydbala-villu-mayzhe-za-2-mln-dolariv-v-prestyzhnomu-rayoni-maiami-coral-gables/")</f>
        <v>https://provse.te.ua/2026/02/donka-mera-ternopolia-serhiia-nadala-prydbala-villu-mayzhe-za-2-mln-dolariv-v-prestyzhnomu-rayoni-maiami-coral-gables/</v>
      </c>
      <c r="H922" t="s">
        <v>28</v>
      </c>
      <c r="N922" t="s">
        <v>2652</v>
      </c>
      <c r="R922" t="s">
        <v>1170</v>
      </c>
      <c r="S922" t="s">
        <v>33</v>
      </c>
      <c r="T922" t="s">
        <v>34</v>
      </c>
    </row>
    <row r="923" spans="1:20" ht="16">
      <c r="A923" t="s">
        <v>2300</v>
      </c>
      <c r="B923" t="s">
        <v>2653</v>
      </c>
      <c r="C923" t="s">
        <v>24</v>
      </c>
      <c r="D923" t="s">
        <v>2276</v>
      </c>
      <c r="E923" t="s">
        <v>45</v>
      </c>
      <c r="F923" t="s">
        <v>3</v>
      </c>
      <c r="G923" t="str">
        <f>HYPERLINK("https://twitter.com/kaminskijd111/status/2027470605193294217")</f>
        <v>https://twitter.com/kaminskijd111/status/2027470605193294217</v>
      </c>
      <c r="H923" t="s">
        <v>28</v>
      </c>
      <c r="I923" t="s">
        <v>2654</v>
      </c>
      <c r="J923" t="s">
        <v>2655</v>
      </c>
      <c r="K923" t="str">
        <f>HYPERLINK("http://twitter.com/kaminskijd111")</f>
        <v>http://twitter.com/kaminskijd111</v>
      </c>
      <c r="L923">
        <v>13</v>
      </c>
      <c r="M923" t="s">
        <v>40</v>
      </c>
      <c r="N923" t="s">
        <v>278</v>
      </c>
      <c r="R923" t="s">
        <v>32</v>
      </c>
      <c r="S923" t="s">
        <v>33</v>
      </c>
      <c r="T923" t="s">
        <v>34</v>
      </c>
    </row>
    <row r="924" spans="1:22" ht="16">
      <c r="A924" t="s">
        <v>2300</v>
      </c>
      <c r="B924" t="s">
        <v>162</v>
      </c>
      <c r="C924" t="s">
        <v>80</v>
      </c>
      <c r="D924" t="s">
        <v>2656</v>
      </c>
      <c r="E924" t="s">
        <v>74</v>
      </c>
      <c r="F924" t="s">
        <v>3</v>
      </c>
      <c r="G924" t="str">
        <f>HYPERLINK("https://www.facebook.com/westukrnews/posts/pfbid05KpJzZfAmc7DG6HMNPojmy3FDtYQBjx33JCcksAdDUDGcWNSDnn66BSqDiowXeWol?comment_id=4493268144332238")</f>
        <v>https://www.facebook.com/westukrnews/posts/pfbid05KpJzZfAmc7DG6HMNPojmy3FDtYQBjx33JCcksAdDUDGcWNSDnn66BSqDiowXeWol?comment_id=4493268144332238</v>
      </c>
      <c r="H924" t="s">
        <v>28</v>
      </c>
      <c r="I924" t="s">
        <v>2657</v>
      </c>
      <c r="K924" t="str">
        <f>HYPERLINK("https://www.facebook.com/100080911067010")</f>
        <v>https://www.facebook.com/100080911067010</v>
      </c>
      <c r="M924" t="s">
        <v>30</v>
      </c>
      <c r="N924" t="s">
        <v>31</v>
      </c>
      <c r="O924" t="s">
        <v>813</v>
      </c>
      <c r="P924" t="str">
        <f>HYPERLINK("https://www.facebook.com/264234810584424")</f>
        <v>https://www.facebook.com/264234810584424</v>
      </c>
      <c r="Q924">
        <v>559985</v>
      </c>
      <c r="R924" t="s">
        <v>32</v>
      </c>
      <c r="S924" t="s">
        <v>33</v>
      </c>
      <c r="T924" t="s">
        <v>34</v>
      </c>
      <c r="U924" t="s">
        <v>487</v>
      </c>
      <c r="V924" t="s">
        <v>814</v>
      </c>
    </row>
    <row r="925" spans="1:20" ht="16">
      <c r="A925" t="s">
        <v>2300</v>
      </c>
      <c r="B925" t="s">
        <v>162</v>
      </c>
      <c r="C925" t="s">
        <v>24</v>
      </c>
      <c r="D925" t="s">
        <v>2658</v>
      </c>
      <c r="E925" t="s">
        <v>45</v>
      </c>
      <c r="F925" t="s">
        <v>3</v>
      </c>
      <c r="G925" t="str">
        <f>HYPERLINK("https://twitter.com/anaissvet/status/2027470416063680930")</f>
        <v>https://twitter.com/anaissvet/status/2027470416063680930</v>
      </c>
      <c r="H925" t="s">
        <v>28</v>
      </c>
      <c r="I925" t="s">
        <v>2659</v>
      </c>
      <c r="J925" t="s">
        <v>2660</v>
      </c>
      <c r="K925" t="str">
        <f>HYPERLINK("http://twitter.com/anaissvet")</f>
        <v>http://twitter.com/anaissvet</v>
      </c>
      <c r="L925">
        <v>125</v>
      </c>
      <c r="M925" t="s">
        <v>30</v>
      </c>
      <c r="N925" t="s">
        <v>278</v>
      </c>
      <c r="R925" t="s">
        <v>32</v>
      </c>
      <c r="S925" t="s">
        <v>33</v>
      </c>
      <c r="T925" t="s">
        <v>34</v>
      </c>
    </row>
    <row r="926" spans="1:22" ht="16">
      <c r="A926" t="s">
        <v>2300</v>
      </c>
      <c r="B926" t="s">
        <v>162</v>
      </c>
      <c r="C926" t="s">
        <v>80</v>
      </c>
      <c r="D926" t="s">
        <v>2661</v>
      </c>
      <c r="E926" t="s">
        <v>74</v>
      </c>
      <c r="F926" t="s">
        <v>3</v>
      </c>
      <c r="G926" t="str">
        <f>HYPERLINK("https://www.facebook.com/westukrnews/posts/pfbid05KpJzZfAmc7DG6HMNPojmy3FDtYQBjx33JCcksAdDUDGcWNSDnn66BSqDiowXeWol?comment_id=4355566474701724")</f>
        <v>https://www.facebook.com/westukrnews/posts/pfbid05KpJzZfAmc7DG6HMNPojmy3FDtYQBjx33JCcksAdDUDGcWNSDnn66BSqDiowXeWol?comment_id=4355566474701724</v>
      </c>
      <c r="H926" t="s">
        <v>28</v>
      </c>
      <c r="I926" t="s">
        <v>1900</v>
      </c>
      <c r="K926" t="str">
        <f>HYPERLINK("https://www.facebook.com/100062065531478")</f>
        <v>https://www.facebook.com/100062065531478</v>
      </c>
      <c r="M926" t="s">
        <v>30</v>
      </c>
      <c r="N926" t="s">
        <v>31</v>
      </c>
      <c r="O926" t="s">
        <v>813</v>
      </c>
      <c r="P926" t="str">
        <f>HYPERLINK("https://www.facebook.com/264234810584424")</f>
        <v>https://www.facebook.com/264234810584424</v>
      </c>
      <c r="Q926">
        <v>559985</v>
      </c>
      <c r="R926" t="s">
        <v>32</v>
      </c>
      <c r="S926" t="s">
        <v>33</v>
      </c>
      <c r="T926" t="s">
        <v>34</v>
      </c>
      <c r="U926" t="s">
        <v>487</v>
      </c>
      <c r="V926" t="s">
        <v>2662</v>
      </c>
    </row>
    <row r="927" spans="1:20" ht="16">
      <c r="A927" t="s">
        <v>2300</v>
      </c>
      <c r="B927" t="s">
        <v>162</v>
      </c>
      <c r="C927" t="s">
        <v>24</v>
      </c>
      <c r="D927" t="s">
        <v>2007</v>
      </c>
      <c r="E927" t="s">
        <v>45</v>
      </c>
      <c r="F927" t="s">
        <v>281</v>
      </c>
      <c r="G927" t="str">
        <f>HYPERLINK("https://twitter.com/dmitrij_adamow/status/2027470398036533643")</f>
        <v>https://twitter.com/dmitrij_adamow/status/2027470398036533643</v>
      </c>
      <c r="H927" t="s">
        <v>28</v>
      </c>
      <c r="I927" t="s">
        <v>2663</v>
      </c>
      <c r="J927" t="s">
        <v>2664</v>
      </c>
      <c r="K927" t="str">
        <f>HYPERLINK("http://twitter.com/dmitrij_adamow")</f>
        <v>http://twitter.com/dmitrij_adamow</v>
      </c>
      <c r="L927">
        <v>121</v>
      </c>
      <c r="N927" t="s">
        <v>278</v>
      </c>
      <c r="R927" t="s">
        <v>32</v>
      </c>
      <c r="S927" t="s">
        <v>33</v>
      </c>
      <c r="T927" t="s">
        <v>199</v>
      </c>
    </row>
    <row r="928" spans="1:19" ht="16">
      <c r="A928" t="s">
        <v>2300</v>
      </c>
      <c r="B928" t="s">
        <v>2665</v>
      </c>
      <c r="C928" t="s">
        <v>24</v>
      </c>
      <c r="D928" t="s">
        <v>2007</v>
      </c>
      <c r="E928" t="s">
        <v>45</v>
      </c>
      <c r="F928" t="s">
        <v>281</v>
      </c>
      <c r="G928" t="str">
        <f>HYPERLINK("https://twitter.com/piketov/status/2027470285469839380")</f>
        <v>https://twitter.com/piketov/status/2027470285469839380</v>
      </c>
      <c r="H928" t="s">
        <v>28</v>
      </c>
      <c r="I928" t="s">
        <v>2666</v>
      </c>
      <c r="J928" t="s">
        <v>2667</v>
      </c>
      <c r="K928" t="str">
        <f>HYPERLINK("http://twitter.com/piketov")</f>
        <v>http://twitter.com/piketov</v>
      </c>
      <c r="L928">
        <v>523</v>
      </c>
      <c r="M928" t="s">
        <v>40</v>
      </c>
      <c r="N928" t="s">
        <v>278</v>
      </c>
      <c r="R928" t="s">
        <v>32</v>
      </c>
      <c r="S928" t="s">
        <v>33</v>
      </c>
    </row>
    <row r="929" spans="1:20" ht="16">
      <c r="A929" t="s">
        <v>2300</v>
      </c>
      <c r="B929" t="s">
        <v>2665</v>
      </c>
      <c r="C929" t="s">
        <v>24</v>
      </c>
      <c r="D929" t="s">
        <v>2007</v>
      </c>
      <c r="E929" t="s">
        <v>45</v>
      </c>
      <c r="F929" t="s">
        <v>281</v>
      </c>
      <c r="G929" t="str">
        <f>HYPERLINK("https://twitter.com/Gr095477/status/2027470230859973019")</f>
        <v>https://twitter.com/Gr095477/status/2027470230859973019</v>
      </c>
      <c r="H929" t="s">
        <v>28</v>
      </c>
      <c r="I929" t="s">
        <v>2306</v>
      </c>
      <c r="J929" t="s">
        <v>2307</v>
      </c>
      <c r="K929" t="str">
        <f>HYPERLINK("http://twitter.com/Gr095477")</f>
        <v>http://twitter.com/Gr095477</v>
      </c>
      <c r="L929">
        <v>10</v>
      </c>
      <c r="M929" t="s">
        <v>40</v>
      </c>
      <c r="N929" t="s">
        <v>278</v>
      </c>
      <c r="R929" t="s">
        <v>32</v>
      </c>
      <c r="S929" t="s">
        <v>33</v>
      </c>
      <c r="T929" t="s">
        <v>34</v>
      </c>
    </row>
    <row r="930" spans="1:22" ht="16">
      <c r="A930" t="s">
        <v>2300</v>
      </c>
      <c r="B930" t="s">
        <v>2665</v>
      </c>
      <c r="C930" t="s">
        <v>80</v>
      </c>
      <c r="D930" t="s">
        <v>2668</v>
      </c>
      <c r="E930" t="s">
        <v>74</v>
      </c>
      <c r="F930" t="s">
        <v>3</v>
      </c>
      <c r="G930" t="str">
        <f>HYPERLINK("https://www.facebook.com/westukrnews/posts/pfbid05KpJzZfAmc7DG6HMNPojmy3FDtYQBjx33JCcksAdDUDGcWNSDnn66BSqDiowXeWol?comment_id=4417568608567312")</f>
        <v>https://www.facebook.com/westukrnews/posts/pfbid05KpJzZfAmc7DG6HMNPojmy3FDtYQBjx33JCcksAdDUDGcWNSDnn66BSqDiowXeWol?comment_id=4417568608567312</v>
      </c>
      <c r="H930" t="s">
        <v>28</v>
      </c>
      <c r="I930" t="s">
        <v>2669</v>
      </c>
      <c r="J930" t="s">
        <v>2670</v>
      </c>
      <c r="K930" t="str">
        <f>HYPERLINK("https://www.facebook.com/100010002376703")</f>
        <v>https://www.facebook.com/100010002376703</v>
      </c>
      <c r="M930" t="s">
        <v>30</v>
      </c>
      <c r="N930" t="s">
        <v>31</v>
      </c>
      <c r="O930" t="s">
        <v>813</v>
      </c>
      <c r="P930" t="str">
        <f>HYPERLINK("https://www.facebook.com/264234810584424")</f>
        <v>https://www.facebook.com/264234810584424</v>
      </c>
      <c r="Q930">
        <v>559985</v>
      </c>
      <c r="R930" t="s">
        <v>32</v>
      </c>
      <c r="S930" t="s">
        <v>33</v>
      </c>
      <c r="T930" t="s">
        <v>86</v>
      </c>
      <c r="U930" t="s">
        <v>2060</v>
      </c>
      <c r="V930" t="s">
        <v>2061</v>
      </c>
    </row>
    <row r="931" spans="1:22" ht="16">
      <c r="A931" t="s">
        <v>2300</v>
      </c>
      <c r="B931" t="s">
        <v>2665</v>
      </c>
      <c r="C931" t="s">
        <v>80</v>
      </c>
      <c r="D931" t="s">
        <v>2671</v>
      </c>
      <c r="E931" t="s">
        <v>74</v>
      </c>
      <c r="F931" t="s">
        <v>102</v>
      </c>
      <c r="G931" t="str">
        <f>HYPERLINK("https://www.facebook.com/westukrnews/posts/pfbid05KpJzZfAmc7DG6HMNPojmy3FDtYQBjx33JCcksAdDUDGcWNSDnn66BSqDiowXeWol?comment_id=1694026051971884")</f>
        <v>https://www.facebook.com/westukrnews/posts/pfbid05KpJzZfAmc7DG6HMNPojmy3FDtYQBjx33JCcksAdDUDGcWNSDnn66BSqDiowXeWol?comment_id=1694026051971884</v>
      </c>
      <c r="H931" t="s">
        <v>28</v>
      </c>
      <c r="I931" t="s">
        <v>2672</v>
      </c>
      <c r="K931" t="str">
        <f>HYPERLINK("https://www.facebook.com/100016810296610")</f>
        <v>https://www.facebook.com/100016810296610</v>
      </c>
      <c r="M931" t="s">
        <v>40</v>
      </c>
      <c r="N931" t="s">
        <v>31</v>
      </c>
      <c r="O931" t="s">
        <v>813</v>
      </c>
      <c r="P931" t="str">
        <f>HYPERLINK("https://www.facebook.com/264234810584424")</f>
        <v>https://www.facebook.com/264234810584424</v>
      </c>
      <c r="Q931">
        <v>559985</v>
      </c>
      <c r="R931" t="s">
        <v>32</v>
      </c>
      <c r="S931" t="s">
        <v>85</v>
      </c>
      <c r="T931" t="s">
        <v>34</v>
      </c>
      <c r="U931" t="s">
        <v>58</v>
      </c>
      <c r="V931" t="s">
        <v>58</v>
      </c>
    </row>
    <row r="932" spans="1:20" ht="16">
      <c r="A932" t="s">
        <v>2300</v>
      </c>
      <c r="B932" t="s">
        <v>2665</v>
      </c>
      <c r="C932" t="s">
        <v>768</v>
      </c>
      <c r="D932" t="s">
        <v>2673</v>
      </c>
      <c r="E932" t="s">
        <v>74</v>
      </c>
      <c r="F932" t="s">
        <v>3</v>
      </c>
      <c r="G932" t="str">
        <f>HYPERLINK("https://www.facebook.com/toyelviv/posts/pfbid02HyVHmdRrHaKvpJCV4k8sSATEQmB44tvrgpepSrJQ66Qs74jVAzPQ6qaz5ZMHUoNBl?comment_id=1811872506160676&amp;reply_comment_id=1557041185370116")</f>
        <v>https://www.facebook.com/toyelviv/posts/pfbid02HyVHmdRrHaKvpJCV4k8sSATEQmB44tvrgpepSrJQ66Qs74jVAzPQ6qaz5ZMHUoNBl?comment_id=1811872506160676&amp;reply_comment_id=1557041185370116</v>
      </c>
      <c r="H932" t="s">
        <v>28</v>
      </c>
      <c r="I932" t="s">
        <v>2674</v>
      </c>
      <c r="K932" t="str">
        <f>HYPERLINK("https://www.facebook.com/100030606851043")</f>
        <v>https://www.facebook.com/100030606851043</v>
      </c>
      <c r="M932" t="s">
        <v>30</v>
      </c>
      <c r="N932" t="s">
        <v>31</v>
      </c>
      <c r="O932" t="s">
        <v>1559</v>
      </c>
      <c r="P932" t="str">
        <f>HYPERLINK("https://www.facebook.com/320892981422193")</f>
        <v>https://www.facebook.com/320892981422193</v>
      </c>
      <c r="Q932">
        <v>293869</v>
      </c>
      <c r="R932" t="s">
        <v>32</v>
      </c>
      <c r="S932" t="s">
        <v>85</v>
      </c>
      <c r="T932" t="s">
        <v>34</v>
      </c>
    </row>
    <row r="933" spans="1:22" ht="16">
      <c r="A933" t="s">
        <v>2300</v>
      </c>
      <c r="B933" t="s">
        <v>2675</v>
      </c>
      <c r="C933" t="s">
        <v>24</v>
      </c>
      <c r="D933" t="s">
        <v>2658</v>
      </c>
      <c r="E933" t="s">
        <v>45</v>
      </c>
      <c r="F933" t="s">
        <v>3</v>
      </c>
      <c r="G933" t="str">
        <f>HYPERLINK("https://twitter.com/huidneprodym/status/2027469912420323583")</f>
        <v>https://twitter.com/huidneprodym/status/2027469912420323583</v>
      </c>
      <c r="H933" t="s">
        <v>28</v>
      </c>
      <c r="I933" t="s">
        <v>2676</v>
      </c>
      <c r="J933" t="s">
        <v>2677</v>
      </c>
      <c r="K933" t="str">
        <f>HYPERLINK("http://twitter.com/huidneprodym")</f>
        <v>http://twitter.com/huidneprodym</v>
      </c>
      <c r="L933">
        <v>3368</v>
      </c>
      <c r="N933" t="s">
        <v>278</v>
      </c>
      <c r="R933" t="s">
        <v>32</v>
      </c>
      <c r="S933" t="s">
        <v>33</v>
      </c>
      <c r="T933" t="s">
        <v>34</v>
      </c>
      <c r="U933" t="s">
        <v>235</v>
      </c>
      <c r="V933" t="s">
        <v>2678</v>
      </c>
    </row>
    <row r="934" spans="1:20" ht="16">
      <c r="A934" t="s">
        <v>2300</v>
      </c>
      <c r="B934" t="s">
        <v>1056</v>
      </c>
      <c r="C934" t="s">
        <v>24</v>
      </c>
      <c r="D934" t="s">
        <v>2007</v>
      </c>
      <c r="E934" t="s">
        <v>45</v>
      </c>
      <c r="F934" t="s">
        <v>281</v>
      </c>
      <c r="G934" t="str">
        <f>HYPERLINK("https://twitter.com/AnatolySho/status/2027469592616919380")</f>
        <v>https://twitter.com/AnatolySho/status/2027469592616919380</v>
      </c>
      <c r="H934" t="s">
        <v>28</v>
      </c>
      <c r="I934" t="s">
        <v>1088</v>
      </c>
      <c r="J934" t="s">
        <v>1089</v>
      </c>
      <c r="K934" t="str">
        <f>HYPERLINK("http://twitter.com/AnatolySho")</f>
        <v>http://twitter.com/AnatolySho</v>
      </c>
      <c r="L934">
        <v>219</v>
      </c>
      <c r="M934" t="s">
        <v>40</v>
      </c>
      <c r="N934" t="s">
        <v>278</v>
      </c>
      <c r="R934" t="s">
        <v>32</v>
      </c>
      <c r="S934" t="s">
        <v>33</v>
      </c>
      <c r="T934" t="s">
        <v>34</v>
      </c>
    </row>
    <row r="935" spans="1:22" ht="16">
      <c r="A935" t="s">
        <v>2300</v>
      </c>
      <c r="B935" t="s">
        <v>1056</v>
      </c>
      <c r="C935" t="s">
        <v>80</v>
      </c>
      <c r="D935" t="s">
        <v>2679</v>
      </c>
      <c r="E935" t="s">
        <v>74</v>
      </c>
      <c r="F935" t="s">
        <v>3</v>
      </c>
      <c r="G935" t="str">
        <f>HYPERLINK("https://www.facebook.com/permalink.php?story_fbid=pfbid02rbt51TUb57HR4F6gBd5FwSTuyaUp3gHvM6gsAExHboTPbUq2FdNvTKt3sBpRB8pml&amp;id=100006975138432&amp;comment_id=3327069200807340")</f>
        <v>https://www.facebook.com/permalink.php?story_fbid=pfbid02rbt51TUb57HR4F6gBd5FwSTuyaUp3gHvM6gsAExHboTPbUq2FdNvTKt3sBpRB8pml&amp;id=100006975138432&amp;comment_id=3327069200807340</v>
      </c>
      <c r="H935" t="s">
        <v>28</v>
      </c>
      <c r="I935" t="s">
        <v>2680</v>
      </c>
      <c r="K935" t="str">
        <f>HYPERLINK("https://www.facebook.com/100015300188561")</f>
        <v>https://www.facebook.com/100015300188561</v>
      </c>
      <c r="L935">
        <v>53</v>
      </c>
      <c r="M935" t="s">
        <v>40</v>
      </c>
      <c r="N935" t="s">
        <v>31</v>
      </c>
      <c r="O935" t="s">
        <v>1399</v>
      </c>
      <c r="P935" t="str">
        <f>HYPERLINK("https://www.facebook.com/100006975138432")</f>
        <v>https://www.facebook.com/100006975138432</v>
      </c>
      <c r="R935" t="s">
        <v>32</v>
      </c>
      <c r="S935" t="s">
        <v>33</v>
      </c>
      <c r="T935" t="s">
        <v>2681</v>
      </c>
      <c r="U935" t="s">
        <v>2682</v>
      </c>
      <c r="V935" t="s">
        <v>2682</v>
      </c>
    </row>
    <row r="936" spans="1:20" ht="16">
      <c r="A936" t="s">
        <v>2300</v>
      </c>
      <c r="B936" t="s">
        <v>1058</v>
      </c>
      <c r="C936" t="s">
        <v>24</v>
      </c>
      <c r="D936" t="s">
        <v>2276</v>
      </c>
      <c r="E936" t="s">
        <v>45</v>
      </c>
      <c r="F936" t="s">
        <v>3</v>
      </c>
      <c r="G936" t="str">
        <f>HYPERLINK("https://twitter.com/Igor51122051425/status/2027469528137863382")</f>
        <v>https://twitter.com/Igor51122051425/status/2027469528137863382</v>
      </c>
      <c r="H936" t="s">
        <v>28</v>
      </c>
      <c r="I936" t="s">
        <v>2683</v>
      </c>
      <c r="J936" t="s">
        <v>2684</v>
      </c>
      <c r="K936" t="str">
        <f>HYPERLINK("http://twitter.com/Igor51122051425")</f>
        <v>http://twitter.com/Igor51122051425</v>
      </c>
      <c r="L936">
        <v>12</v>
      </c>
      <c r="M936" t="s">
        <v>40</v>
      </c>
      <c r="N936" t="s">
        <v>278</v>
      </c>
      <c r="R936" t="s">
        <v>32</v>
      </c>
      <c r="S936" t="s">
        <v>33</v>
      </c>
      <c r="T936" t="s">
        <v>34</v>
      </c>
    </row>
    <row r="937" spans="1:20" ht="16">
      <c r="A937" t="s">
        <v>2300</v>
      </c>
      <c r="B937" t="s">
        <v>1058</v>
      </c>
      <c r="C937" t="s">
        <v>768</v>
      </c>
      <c r="D937" t="s">
        <v>2685</v>
      </c>
      <c r="E937" t="s">
        <v>74</v>
      </c>
      <c r="F937" t="s">
        <v>3</v>
      </c>
      <c r="G937" t="str">
        <f>HYPERLINK("https://www.facebook.com/toyelviv/posts/pfbid02HyVHmdRrHaKvpJCV4k8sSATEQmB44tvrgpepSrJQ66Qs74jVAzPQ6qaz5ZMHUoNBl?comment_id=1431172071259793&amp;reply_comment_id=2155098965288399")</f>
        <v>https://www.facebook.com/toyelviv/posts/pfbid02HyVHmdRrHaKvpJCV4k8sSATEQmB44tvrgpepSrJQ66Qs74jVAzPQ6qaz5ZMHUoNBl?comment_id=1431172071259793&amp;reply_comment_id=2155098965288399</v>
      </c>
      <c r="H937" t="s">
        <v>28</v>
      </c>
      <c r="I937" t="s">
        <v>2686</v>
      </c>
      <c r="J937" t="s">
        <v>2687</v>
      </c>
      <c r="K937" t="str">
        <f>HYPERLINK("https://www.facebook.com/1797894595")</f>
        <v>https://www.facebook.com/1797894595</v>
      </c>
      <c r="M937" t="s">
        <v>40</v>
      </c>
      <c r="N937" t="s">
        <v>31</v>
      </c>
      <c r="O937" t="s">
        <v>1559</v>
      </c>
      <c r="P937" t="str">
        <f>HYPERLINK("https://www.facebook.com/320892981422193")</f>
        <v>https://www.facebook.com/320892981422193</v>
      </c>
      <c r="Q937">
        <v>293869</v>
      </c>
      <c r="R937" t="s">
        <v>32</v>
      </c>
      <c r="S937" t="s">
        <v>85</v>
      </c>
      <c r="T937" t="s">
        <v>34</v>
      </c>
    </row>
    <row r="938" spans="1:20" ht="16">
      <c r="A938" t="s">
        <v>2300</v>
      </c>
      <c r="B938" t="s">
        <v>2688</v>
      </c>
      <c r="C938" t="s">
        <v>768</v>
      </c>
      <c r="D938" t="s">
        <v>2689</v>
      </c>
      <c r="E938" t="s">
        <v>74</v>
      </c>
      <c r="F938" t="s">
        <v>3</v>
      </c>
      <c r="G938" t="str">
        <f>HYPERLINK("https://www.facebook.com/toyelviv/posts/pfbid02HyVHmdRrHaKvpJCV4k8sSATEQmB44tvrgpepSrJQ66Qs74jVAzPQ6qaz5ZMHUoNBl?comment_id=770453519053315&amp;reply_comment_id=1617511379377807")</f>
        <v>https://www.facebook.com/toyelviv/posts/pfbid02HyVHmdRrHaKvpJCV4k8sSATEQmB44tvrgpepSrJQ66Qs74jVAzPQ6qaz5ZMHUoNBl?comment_id=770453519053315&amp;reply_comment_id=1617511379377807</v>
      </c>
      <c r="H938" t="s">
        <v>28</v>
      </c>
      <c r="I938" t="s">
        <v>2674</v>
      </c>
      <c r="K938" t="str">
        <f>HYPERLINK("https://www.facebook.com/100030606851043")</f>
        <v>https://www.facebook.com/100030606851043</v>
      </c>
      <c r="M938" t="s">
        <v>30</v>
      </c>
      <c r="N938" t="s">
        <v>31</v>
      </c>
      <c r="O938" t="s">
        <v>1559</v>
      </c>
      <c r="P938" t="str">
        <f>HYPERLINK("https://www.facebook.com/320892981422193")</f>
        <v>https://www.facebook.com/320892981422193</v>
      </c>
      <c r="Q938">
        <v>293869</v>
      </c>
      <c r="R938" t="s">
        <v>32</v>
      </c>
      <c r="S938" t="s">
        <v>85</v>
      </c>
      <c r="T938" t="s">
        <v>34</v>
      </c>
    </row>
    <row r="939" spans="1:20" ht="16">
      <c r="A939" t="s">
        <v>2300</v>
      </c>
      <c r="B939" t="s">
        <v>2688</v>
      </c>
      <c r="C939" t="s">
        <v>768</v>
      </c>
      <c r="D939" t="s">
        <v>2690</v>
      </c>
      <c r="E939" t="s">
        <v>74</v>
      </c>
      <c r="F939" t="s">
        <v>3</v>
      </c>
      <c r="G939" t="str">
        <f>HYPERLINK("https://www.facebook.com/toyelviv/posts/pfbid02HyVHmdRrHaKvpJCV4k8sSATEQmB44tvrgpepSrJQ66Qs74jVAzPQ6qaz5ZMHUoNBl?comment_id=1642058990480200")</f>
        <v>https://www.facebook.com/toyelviv/posts/pfbid02HyVHmdRrHaKvpJCV4k8sSATEQmB44tvrgpepSrJQ66Qs74jVAzPQ6qaz5ZMHUoNBl?comment_id=1642058990480200</v>
      </c>
      <c r="H939" t="s">
        <v>28</v>
      </c>
      <c r="I939" t="s">
        <v>2691</v>
      </c>
      <c r="J939" t="s">
        <v>2692</v>
      </c>
      <c r="K939" t="str">
        <f>HYPERLINK("https://www.facebook.com/100022809470800")</f>
        <v>https://www.facebook.com/100022809470800</v>
      </c>
      <c r="M939" t="s">
        <v>30</v>
      </c>
      <c r="N939" t="s">
        <v>31</v>
      </c>
      <c r="O939" t="s">
        <v>1559</v>
      </c>
      <c r="P939" t="str">
        <f>HYPERLINK("https://www.facebook.com/320892981422193")</f>
        <v>https://www.facebook.com/320892981422193</v>
      </c>
      <c r="Q939">
        <v>293869</v>
      </c>
      <c r="R939" t="s">
        <v>32</v>
      </c>
      <c r="S939" t="s">
        <v>85</v>
      </c>
      <c r="T939" t="s">
        <v>34</v>
      </c>
    </row>
    <row r="940" spans="1:22" ht="16">
      <c r="A940" t="s">
        <v>2300</v>
      </c>
      <c r="B940" t="s">
        <v>2688</v>
      </c>
      <c r="C940" t="s">
        <v>80</v>
      </c>
      <c r="D940" t="s">
        <v>2693</v>
      </c>
      <c r="E940" t="s">
        <v>74</v>
      </c>
      <c r="F940" t="s">
        <v>3</v>
      </c>
      <c r="G940" t="str">
        <f>HYPERLINK("https://www.facebook.com/permalink.php?story_fbid=pfbid02rbt51TUb57HR4F6gBd5FwSTuyaUp3gHvM6gsAExHboTPbUq2FdNvTKt3sBpRB8pml&amp;id=100006975138432&amp;comment_id=996164533586194&amp;reply_comment_id=1260279818858551")</f>
        <v>https://www.facebook.com/permalink.php?story_fbid=pfbid02rbt51TUb57HR4F6gBd5FwSTuyaUp3gHvM6gsAExHboTPbUq2FdNvTKt3sBpRB8pml&amp;id=100006975138432&amp;comment_id=996164533586194&amp;reply_comment_id=1260279818858551</v>
      </c>
      <c r="H940" t="s">
        <v>28</v>
      </c>
      <c r="I940" t="s">
        <v>2694</v>
      </c>
      <c r="J940" t="s">
        <v>2695</v>
      </c>
      <c r="K940" t="str">
        <f>HYPERLINK("https://www.facebook.com/100015094061062")</f>
        <v>https://www.facebook.com/100015094061062</v>
      </c>
      <c r="M940" t="s">
        <v>30</v>
      </c>
      <c r="N940" t="s">
        <v>31</v>
      </c>
      <c r="O940" t="s">
        <v>1399</v>
      </c>
      <c r="P940" t="str">
        <f>HYPERLINK("https://www.facebook.com/100006975138432")</f>
        <v>https://www.facebook.com/100006975138432</v>
      </c>
      <c r="R940" t="s">
        <v>32</v>
      </c>
      <c r="S940" t="s">
        <v>33</v>
      </c>
      <c r="T940" t="s">
        <v>240</v>
      </c>
      <c r="U940" t="s">
        <v>2696</v>
      </c>
      <c r="V940" t="s">
        <v>2697</v>
      </c>
    </row>
    <row r="941" spans="1:22" ht="16">
      <c r="A941" t="s">
        <v>2300</v>
      </c>
      <c r="B941" t="s">
        <v>2688</v>
      </c>
      <c r="C941" t="s">
        <v>80</v>
      </c>
      <c r="D941" t="s">
        <v>2698</v>
      </c>
      <c r="E941" t="s">
        <v>74</v>
      </c>
      <c r="F941" t="s">
        <v>3</v>
      </c>
      <c r="G941" t="str">
        <f>HYPERLINK("https://www.facebook.com/permalink.php?story_fbid=pfbid02rbt51TUb57HR4F6gBd5FwSTuyaUp3gHvM6gsAExHboTPbUq2FdNvTKt3sBpRB8pml&amp;id=100006975138432&amp;comment_id=25907904125533501")</f>
        <v>https://www.facebook.com/permalink.php?story_fbid=pfbid02rbt51TUb57HR4F6gBd5FwSTuyaUp3gHvM6gsAExHboTPbUq2FdNvTKt3sBpRB8pml&amp;id=100006975138432&amp;comment_id=25907904125533501</v>
      </c>
      <c r="H941" t="s">
        <v>28</v>
      </c>
      <c r="I941" t="s">
        <v>2699</v>
      </c>
      <c r="K941" t="str">
        <f>HYPERLINK("https://www.facebook.com/100013977917020")</f>
        <v>https://www.facebook.com/100013977917020</v>
      </c>
      <c r="M941" t="s">
        <v>30</v>
      </c>
      <c r="N941" t="s">
        <v>31</v>
      </c>
      <c r="O941" t="s">
        <v>1399</v>
      </c>
      <c r="P941" t="str">
        <f>HYPERLINK("https://www.facebook.com/100006975138432")</f>
        <v>https://www.facebook.com/100006975138432</v>
      </c>
      <c r="R941" t="s">
        <v>32</v>
      </c>
      <c r="S941" t="s">
        <v>85</v>
      </c>
      <c r="T941" t="s">
        <v>2700</v>
      </c>
      <c r="U941" t="s">
        <v>2701</v>
      </c>
      <c r="V941" t="s">
        <v>2701</v>
      </c>
    </row>
    <row r="942" spans="1:20" ht="16">
      <c r="A942" t="s">
        <v>2300</v>
      </c>
      <c r="B942" t="s">
        <v>2688</v>
      </c>
      <c r="C942" t="s">
        <v>768</v>
      </c>
      <c r="D942" t="s">
        <v>2702</v>
      </c>
      <c r="E942" t="s">
        <v>74</v>
      </c>
      <c r="F942" t="s">
        <v>3</v>
      </c>
      <c r="G942" t="str">
        <f>HYPERLINK("https://www.facebook.com/toyelviv/posts/pfbid02HyVHmdRrHaKvpJCV4k8sSATEQmB44tvrgpepSrJQ66Qs74jVAzPQ6qaz5ZMHUoNBl?comment_id=922959543819441")</f>
        <v>https://www.facebook.com/toyelviv/posts/pfbid02HyVHmdRrHaKvpJCV4k8sSATEQmB44tvrgpepSrJQ66Qs74jVAzPQ6qaz5ZMHUoNBl?comment_id=922959543819441</v>
      </c>
      <c r="H942" t="s">
        <v>28</v>
      </c>
      <c r="I942" t="s">
        <v>2703</v>
      </c>
      <c r="K942" t="str">
        <f>HYPERLINK("https://www.facebook.com/100007932423569")</f>
        <v>https://www.facebook.com/100007932423569</v>
      </c>
      <c r="M942" t="s">
        <v>40</v>
      </c>
      <c r="N942" t="s">
        <v>31</v>
      </c>
      <c r="O942" t="s">
        <v>1559</v>
      </c>
      <c r="P942" t="str">
        <f>HYPERLINK("https://www.facebook.com/320892981422193")</f>
        <v>https://www.facebook.com/320892981422193</v>
      </c>
      <c r="Q942">
        <v>293869</v>
      </c>
      <c r="R942" t="s">
        <v>32</v>
      </c>
      <c r="S942" t="s">
        <v>33</v>
      </c>
      <c r="T942" t="s">
        <v>34</v>
      </c>
    </row>
    <row r="943" spans="1:20" ht="16">
      <c r="A943" t="s">
        <v>2300</v>
      </c>
      <c r="B943" t="s">
        <v>164</v>
      </c>
      <c r="C943" t="s">
        <v>768</v>
      </c>
      <c r="D943" t="s">
        <v>2704</v>
      </c>
      <c r="E943" t="s">
        <v>74</v>
      </c>
      <c r="F943" t="s">
        <v>3</v>
      </c>
      <c r="G943" t="str">
        <f>HYPERLINK("https://www.facebook.com/toyelviv/posts/pfbid02HyVHmdRrHaKvpJCV4k8sSATEQmB44tvrgpepSrJQ66Qs74jVAzPQ6qaz5ZMHUoNBl?comment_id=928153846269230&amp;reply_comment_id=1216807337230345")</f>
        <v>https://www.facebook.com/toyelviv/posts/pfbid02HyVHmdRrHaKvpJCV4k8sSATEQmB44tvrgpepSrJQ66Qs74jVAzPQ6qaz5ZMHUoNBl?comment_id=928153846269230&amp;reply_comment_id=1216807337230345</v>
      </c>
      <c r="H943" t="s">
        <v>28</v>
      </c>
      <c r="I943" t="s">
        <v>2674</v>
      </c>
      <c r="K943" t="str">
        <f>HYPERLINK("https://www.facebook.com/100030606851043")</f>
        <v>https://www.facebook.com/100030606851043</v>
      </c>
      <c r="M943" t="s">
        <v>30</v>
      </c>
      <c r="N943" t="s">
        <v>31</v>
      </c>
      <c r="O943" t="s">
        <v>1559</v>
      </c>
      <c r="P943" t="str">
        <f>HYPERLINK("https://www.facebook.com/320892981422193")</f>
        <v>https://www.facebook.com/320892981422193</v>
      </c>
      <c r="Q943">
        <v>293869</v>
      </c>
      <c r="R943" t="s">
        <v>32</v>
      </c>
      <c r="S943" t="s">
        <v>33</v>
      </c>
      <c r="T943" t="s">
        <v>34</v>
      </c>
    </row>
    <row r="944" spans="1:20" ht="16">
      <c r="A944" t="s">
        <v>2300</v>
      </c>
      <c r="B944" t="s">
        <v>164</v>
      </c>
      <c r="C944" t="s">
        <v>768</v>
      </c>
      <c r="D944" t="s">
        <v>2705</v>
      </c>
      <c r="E944" t="s">
        <v>74</v>
      </c>
      <c r="F944" t="s">
        <v>3</v>
      </c>
      <c r="G944" t="str">
        <f>HYPERLINK("https://www.facebook.com/toyelviv/posts/pfbid02HyVHmdRrHaKvpJCV4k8sSATEQmB44tvrgpepSrJQ66Qs74jVAzPQ6qaz5ZMHUoNBl?comment_id=1537099785091455&amp;reply_comment_id=1408854217055983")</f>
        <v>https://www.facebook.com/toyelviv/posts/pfbid02HyVHmdRrHaKvpJCV4k8sSATEQmB44tvrgpepSrJQ66Qs74jVAzPQ6qaz5ZMHUoNBl?comment_id=1537099785091455&amp;reply_comment_id=1408854217055983</v>
      </c>
      <c r="H944" t="s">
        <v>28</v>
      </c>
      <c r="I944" t="s">
        <v>2706</v>
      </c>
      <c r="K944" t="str">
        <f>HYPERLINK("https://www.facebook.com/100005027107614")</f>
        <v>https://www.facebook.com/100005027107614</v>
      </c>
      <c r="M944" t="s">
        <v>40</v>
      </c>
      <c r="N944" t="s">
        <v>31</v>
      </c>
      <c r="O944" t="s">
        <v>1559</v>
      </c>
      <c r="P944" t="str">
        <f>HYPERLINK("https://www.facebook.com/320892981422193")</f>
        <v>https://www.facebook.com/320892981422193</v>
      </c>
      <c r="Q944">
        <v>293869</v>
      </c>
      <c r="R944" t="s">
        <v>32</v>
      </c>
      <c r="S944" t="s">
        <v>85</v>
      </c>
      <c r="T944" t="s">
        <v>34</v>
      </c>
    </row>
    <row r="945" spans="1:21" ht="16">
      <c r="A945" t="s">
        <v>2300</v>
      </c>
      <c r="B945" t="s">
        <v>164</v>
      </c>
      <c r="C945" t="s">
        <v>24</v>
      </c>
      <c r="D945" t="s">
        <v>254</v>
      </c>
      <c r="E945" t="s">
        <v>45</v>
      </c>
      <c r="F945" t="s">
        <v>46</v>
      </c>
      <c r="G945" t="str">
        <f>HYPERLINK("https://www.facebook.com/877276661977105")</f>
        <v>https://www.facebook.com/877276661977105</v>
      </c>
      <c r="H945" t="s">
        <v>28</v>
      </c>
      <c r="I945" t="s">
        <v>876</v>
      </c>
      <c r="K945" t="str">
        <f>HYPERLINK("https://www.facebook.com/100090843379637")</f>
        <v>https://www.facebook.com/100090843379637</v>
      </c>
      <c r="M945" t="s">
        <v>40</v>
      </c>
      <c r="N945" t="s">
        <v>31</v>
      </c>
      <c r="O945" t="s">
        <v>876</v>
      </c>
      <c r="P945" t="str">
        <f>HYPERLINK("https://www.facebook.com/100090843379637")</f>
        <v>https://www.facebook.com/100090843379637</v>
      </c>
      <c r="R945" t="s">
        <v>32</v>
      </c>
      <c r="S945" t="s">
        <v>33</v>
      </c>
      <c r="T945" t="s">
        <v>34</v>
      </c>
      <c r="U945" t="s">
        <v>309</v>
      </c>
    </row>
    <row r="946" spans="1:20" ht="16">
      <c r="A946" t="s">
        <v>2300</v>
      </c>
      <c r="B946" t="s">
        <v>164</v>
      </c>
      <c r="C946" t="s">
        <v>24</v>
      </c>
      <c r="D946" t="s">
        <v>2007</v>
      </c>
      <c r="E946" t="s">
        <v>45</v>
      </c>
      <c r="F946" t="s">
        <v>281</v>
      </c>
      <c r="G946" t="str">
        <f>HYPERLINK("https://twitter.com/sposterigaem/status/2027468786547163317")</f>
        <v>https://twitter.com/sposterigaem/status/2027468786547163317</v>
      </c>
      <c r="H946" t="s">
        <v>28</v>
      </c>
      <c r="I946" t="s">
        <v>758</v>
      </c>
      <c r="J946" t="s">
        <v>759</v>
      </c>
      <c r="K946" t="str">
        <f>HYPERLINK("http://twitter.com/sposterigaem")</f>
        <v>http://twitter.com/sposterigaem</v>
      </c>
      <c r="L946">
        <v>436</v>
      </c>
      <c r="N946" t="s">
        <v>278</v>
      </c>
      <c r="R946" t="s">
        <v>32</v>
      </c>
      <c r="S946" t="s">
        <v>33</v>
      </c>
      <c r="T946" t="s">
        <v>34</v>
      </c>
    </row>
    <row r="947" spans="1:20" ht="16">
      <c r="A947" t="s">
        <v>2300</v>
      </c>
      <c r="B947" t="s">
        <v>2707</v>
      </c>
      <c r="C947" t="s">
        <v>24</v>
      </c>
      <c r="D947" t="s">
        <v>2007</v>
      </c>
      <c r="E947" t="s">
        <v>45</v>
      </c>
      <c r="F947" t="s">
        <v>281</v>
      </c>
      <c r="G947" t="str">
        <f>HYPERLINK("https://twitter.com/YuriPulupchyk/status/2027468764283892019")</f>
        <v>https://twitter.com/YuriPulupchyk/status/2027468764283892019</v>
      </c>
      <c r="H947" t="s">
        <v>28</v>
      </c>
      <c r="I947" t="s">
        <v>2708</v>
      </c>
      <c r="J947" t="s">
        <v>2709</v>
      </c>
      <c r="K947" t="str">
        <f>HYPERLINK("http://twitter.com/YuriPulupchyk")</f>
        <v>http://twitter.com/YuriPulupchyk</v>
      </c>
      <c r="L947">
        <v>145</v>
      </c>
      <c r="M947" t="s">
        <v>40</v>
      </c>
      <c r="N947" t="s">
        <v>278</v>
      </c>
      <c r="R947" t="s">
        <v>32</v>
      </c>
      <c r="S947" t="s">
        <v>33</v>
      </c>
      <c r="T947" t="s">
        <v>34</v>
      </c>
    </row>
    <row r="948" spans="1:22" ht="16">
      <c r="A948" t="s">
        <v>2300</v>
      </c>
      <c r="B948" t="s">
        <v>2707</v>
      </c>
      <c r="C948" t="s">
        <v>768</v>
      </c>
      <c r="D948" t="s">
        <v>2710</v>
      </c>
      <c r="E948" t="s">
        <v>74</v>
      </c>
      <c r="F948" t="s">
        <v>3</v>
      </c>
      <c r="G948" t="str">
        <f>HYPERLINK("https://www.facebook.com/toyelviv/posts/pfbid02HyVHmdRrHaKvpJCV4k8sSATEQmB44tvrgpepSrJQ66Qs74jVAzPQ6qaz5ZMHUoNBl?comment_id=769600045801128&amp;reply_comment_id=913500548238736")</f>
        <v>https://www.facebook.com/toyelviv/posts/pfbid02HyVHmdRrHaKvpJCV4k8sSATEQmB44tvrgpepSrJQ66Qs74jVAzPQ6qaz5ZMHUoNBl?comment_id=769600045801128&amp;reply_comment_id=913500548238736</v>
      </c>
      <c r="H948" t="s">
        <v>28</v>
      </c>
      <c r="I948" t="s">
        <v>2711</v>
      </c>
      <c r="J948" t="s">
        <v>2712</v>
      </c>
      <c r="K948" t="str">
        <f>HYPERLINK("https://www.facebook.com/1433244780")</f>
        <v>https://www.facebook.com/1433244780</v>
      </c>
      <c r="M948" t="s">
        <v>30</v>
      </c>
      <c r="N948" t="s">
        <v>31</v>
      </c>
      <c r="O948" t="s">
        <v>1559</v>
      </c>
      <c r="P948" t="str">
        <f>HYPERLINK("https://www.facebook.com/320892981422193")</f>
        <v>https://www.facebook.com/320892981422193</v>
      </c>
      <c r="Q948">
        <v>293869</v>
      </c>
      <c r="R948" t="s">
        <v>32</v>
      </c>
      <c r="S948" t="s">
        <v>33</v>
      </c>
      <c r="T948" t="s">
        <v>2433</v>
      </c>
      <c r="U948" t="s">
        <v>2434</v>
      </c>
      <c r="V948" t="s">
        <v>2435</v>
      </c>
    </row>
    <row r="949" spans="1:22" ht="16">
      <c r="A949" t="s">
        <v>2300</v>
      </c>
      <c r="B949" t="s">
        <v>2707</v>
      </c>
      <c r="C949" t="s">
        <v>80</v>
      </c>
      <c r="D949" t="s">
        <v>2713</v>
      </c>
      <c r="E949" t="s">
        <v>74</v>
      </c>
      <c r="F949" t="s">
        <v>3</v>
      </c>
      <c r="G949" t="str">
        <f>HYPERLINK("https://www.facebook.com/westukrnews/posts/pfbid05KpJzZfAmc7DG6HMNPojmy3FDtYQBjx33JCcksAdDUDGcWNSDnn66BSqDiowXeWol?comment_id=950434304103631")</f>
        <v>https://www.facebook.com/westukrnews/posts/pfbid05KpJzZfAmc7DG6HMNPojmy3FDtYQBjx33JCcksAdDUDGcWNSDnn66BSqDiowXeWol?comment_id=950434304103631</v>
      </c>
      <c r="H949" t="s">
        <v>28</v>
      </c>
      <c r="I949" t="s">
        <v>2714</v>
      </c>
      <c r="K949" t="str">
        <f>HYPERLINK("https://www.facebook.com/100036488620711")</f>
        <v>https://www.facebook.com/100036488620711</v>
      </c>
      <c r="M949" t="s">
        <v>30</v>
      </c>
      <c r="N949" t="s">
        <v>31</v>
      </c>
      <c r="O949" t="s">
        <v>813</v>
      </c>
      <c r="P949" t="str">
        <f>HYPERLINK("https://www.facebook.com/264234810584424")</f>
        <v>https://www.facebook.com/264234810584424</v>
      </c>
      <c r="Q949">
        <v>559985</v>
      </c>
      <c r="R949" t="s">
        <v>32</v>
      </c>
      <c r="S949" t="s">
        <v>33</v>
      </c>
      <c r="T949" t="s">
        <v>34</v>
      </c>
      <c r="U949" t="s">
        <v>77</v>
      </c>
      <c r="V949" t="s">
        <v>140</v>
      </c>
    </row>
    <row r="950" spans="1:20" ht="16">
      <c r="A950" t="s">
        <v>2300</v>
      </c>
      <c r="B950" t="s">
        <v>2707</v>
      </c>
      <c r="C950" t="s">
        <v>768</v>
      </c>
      <c r="D950" t="s">
        <v>2715</v>
      </c>
      <c r="E950" t="s">
        <v>74</v>
      </c>
      <c r="F950" t="s">
        <v>3</v>
      </c>
      <c r="G950" t="str">
        <f>HYPERLINK("https://www.facebook.com/toyelviv/posts/pfbid02HyVHmdRrHaKvpJCV4k8sSATEQmB44tvrgpepSrJQ66Qs74jVAzPQ6qaz5ZMHUoNBl?comment_id=1537099785091455&amp;reply_comment_id=1240757431480099")</f>
        <v>https://www.facebook.com/toyelviv/posts/pfbid02HyVHmdRrHaKvpJCV4k8sSATEQmB44tvrgpepSrJQ66Qs74jVAzPQ6qaz5ZMHUoNBl?comment_id=1537099785091455&amp;reply_comment_id=1240757431480099</v>
      </c>
      <c r="H950" t="s">
        <v>28</v>
      </c>
      <c r="I950" t="s">
        <v>2674</v>
      </c>
      <c r="K950" t="str">
        <f>HYPERLINK("https://www.facebook.com/100030606851043")</f>
        <v>https://www.facebook.com/100030606851043</v>
      </c>
      <c r="M950" t="s">
        <v>30</v>
      </c>
      <c r="N950" t="s">
        <v>31</v>
      </c>
      <c r="O950" t="s">
        <v>1559</v>
      </c>
      <c r="P950" t="str">
        <f>HYPERLINK("https://www.facebook.com/320892981422193")</f>
        <v>https://www.facebook.com/320892981422193</v>
      </c>
      <c r="Q950">
        <v>293869</v>
      </c>
      <c r="R950" t="s">
        <v>32</v>
      </c>
      <c r="S950" t="s">
        <v>85</v>
      </c>
      <c r="T950" t="s">
        <v>34</v>
      </c>
    </row>
    <row r="951" spans="1:20" ht="16">
      <c r="A951" t="s">
        <v>2300</v>
      </c>
      <c r="B951" t="s">
        <v>2716</v>
      </c>
      <c r="C951" t="s">
        <v>24</v>
      </c>
      <c r="D951" t="s">
        <v>2276</v>
      </c>
      <c r="E951" t="s">
        <v>45</v>
      </c>
      <c r="F951" t="s">
        <v>3</v>
      </c>
      <c r="G951" t="str">
        <f>HYPERLINK("https://twitter.com/mmr_dota/status/2027468511639966015")</f>
        <v>https://twitter.com/mmr_dota/status/2027468511639966015</v>
      </c>
      <c r="H951" t="s">
        <v>28</v>
      </c>
      <c r="I951" t="s">
        <v>2717</v>
      </c>
      <c r="J951" t="s">
        <v>2718</v>
      </c>
      <c r="K951" t="str">
        <f>HYPERLINK("http://twitter.com/mmr_dota")</f>
        <v>http://twitter.com/mmr_dota</v>
      </c>
      <c r="L951">
        <v>103</v>
      </c>
      <c r="N951" t="s">
        <v>278</v>
      </c>
      <c r="R951" t="s">
        <v>32</v>
      </c>
      <c r="S951" t="s">
        <v>33</v>
      </c>
      <c r="T951" t="s">
        <v>34</v>
      </c>
    </row>
    <row r="952" spans="1:22" ht="16">
      <c r="A952" t="s">
        <v>2300</v>
      </c>
      <c r="B952" t="s">
        <v>2716</v>
      </c>
      <c r="C952" t="s">
        <v>80</v>
      </c>
      <c r="D952" t="s">
        <v>2719</v>
      </c>
      <c r="E952" t="s">
        <v>74</v>
      </c>
      <c r="F952" t="s">
        <v>3</v>
      </c>
      <c r="G952" t="str">
        <f>HYPERLINK("https://www.facebook.com/westukrnews/posts/pfbid05KpJzZfAmc7DG6HMNPojmy3FDtYQBjx33JCcksAdDUDGcWNSDnn66BSqDiowXeWol?comment_id=1447113956902556")</f>
        <v>https://www.facebook.com/westukrnews/posts/pfbid05KpJzZfAmc7DG6HMNPojmy3FDtYQBjx33JCcksAdDUDGcWNSDnn66BSqDiowXeWol?comment_id=1447113956902556</v>
      </c>
      <c r="H952" t="s">
        <v>28</v>
      </c>
      <c r="I952" t="s">
        <v>2720</v>
      </c>
      <c r="K952" t="str">
        <f>HYPERLINK("https://www.facebook.com/100074304244467")</f>
        <v>https://www.facebook.com/100074304244467</v>
      </c>
      <c r="M952" t="s">
        <v>30</v>
      </c>
      <c r="N952" t="s">
        <v>31</v>
      </c>
      <c r="O952" t="s">
        <v>813</v>
      </c>
      <c r="P952" t="str">
        <f>HYPERLINK("https://www.facebook.com/264234810584424")</f>
        <v>https://www.facebook.com/264234810584424</v>
      </c>
      <c r="Q952">
        <v>559985</v>
      </c>
      <c r="R952" t="s">
        <v>32</v>
      </c>
      <c r="S952" t="s">
        <v>33</v>
      </c>
      <c r="T952" t="s">
        <v>34</v>
      </c>
      <c r="U952" t="s">
        <v>41</v>
      </c>
      <c r="V952" t="s">
        <v>42</v>
      </c>
    </row>
    <row r="953" spans="1:22" ht="16">
      <c r="A953" t="s">
        <v>2300</v>
      </c>
      <c r="B953" t="s">
        <v>2716</v>
      </c>
      <c r="C953" t="s">
        <v>80</v>
      </c>
      <c r="D953" t="s">
        <v>2721</v>
      </c>
      <c r="E953" t="s">
        <v>74</v>
      </c>
      <c r="F953" t="s">
        <v>3</v>
      </c>
      <c r="G953" t="str">
        <f>HYPERLINK("https://www.facebook.com/permalink.php?story_fbid=pfbid02rbt51TUb57HR4F6gBd5FwSTuyaUp3gHvM6gsAExHboTPbUq2FdNvTKt3sBpRB8pml&amp;id=100006975138432&amp;comment_id=1454628362855293")</f>
        <v>https://www.facebook.com/permalink.php?story_fbid=pfbid02rbt51TUb57HR4F6gBd5FwSTuyaUp3gHvM6gsAExHboTPbUq2FdNvTKt3sBpRB8pml&amp;id=100006975138432&amp;comment_id=1454628362855293</v>
      </c>
      <c r="H953" t="s">
        <v>28</v>
      </c>
      <c r="I953" t="s">
        <v>2722</v>
      </c>
      <c r="J953" t="s">
        <v>2723</v>
      </c>
      <c r="K953" t="str">
        <f>HYPERLINK("https://www.facebook.com/100010219801253")</f>
        <v>https://www.facebook.com/100010219801253</v>
      </c>
      <c r="M953" t="s">
        <v>30</v>
      </c>
      <c r="N953" t="s">
        <v>31</v>
      </c>
      <c r="O953" t="s">
        <v>1399</v>
      </c>
      <c r="P953" t="str">
        <f>HYPERLINK("https://www.facebook.com/100006975138432")</f>
        <v>https://www.facebook.com/100006975138432</v>
      </c>
      <c r="R953" t="s">
        <v>32</v>
      </c>
      <c r="S953" t="s">
        <v>33</v>
      </c>
      <c r="T953" t="s">
        <v>2700</v>
      </c>
      <c r="U953" t="s">
        <v>2701</v>
      </c>
      <c r="V953" t="s">
        <v>2701</v>
      </c>
    </row>
    <row r="954" spans="1:22" ht="16">
      <c r="A954" t="s">
        <v>2300</v>
      </c>
      <c r="B954" t="s">
        <v>2716</v>
      </c>
      <c r="C954" t="s">
        <v>80</v>
      </c>
      <c r="D954" t="s">
        <v>2724</v>
      </c>
      <c r="E954" t="s">
        <v>74</v>
      </c>
      <c r="F954" t="s">
        <v>3</v>
      </c>
      <c r="G954" t="str">
        <f>HYPERLINK("https://www.facebook.com/westukrnews/posts/pfbid05KpJzZfAmc7DG6HMNPojmy3FDtYQBjx33JCcksAdDUDGcWNSDnn66BSqDiowXeWol?comment_id=2311441095991608")</f>
        <v>https://www.facebook.com/westukrnews/posts/pfbid05KpJzZfAmc7DG6HMNPojmy3FDtYQBjx33JCcksAdDUDGcWNSDnn66BSqDiowXeWol?comment_id=2311441095991608</v>
      </c>
      <c r="H954" t="s">
        <v>28</v>
      </c>
      <c r="I954" t="s">
        <v>2725</v>
      </c>
      <c r="K954" t="str">
        <f>HYPERLINK("https://www.facebook.com/100044626818651")</f>
        <v>https://www.facebook.com/100044626818651</v>
      </c>
      <c r="M954" t="s">
        <v>30</v>
      </c>
      <c r="N954" t="s">
        <v>31</v>
      </c>
      <c r="O954" t="s">
        <v>813</v>
      </c>
      <c r="P954" t="str">
        <f>HYPERLINK("https://www.facebook.com/264234810584424")</f>
        <v>https://www.facebook.com/264234810584424</v>
      </c>
      <c r="Q954">
        <v>559985</v>
      </c>
      <c r="R954" t="s">
        <v>32</v>
      </c>
      <c r="S954" t="s">
        <v>33</v>
      </c>
      <c r="T954" t="s">
        <v>34</v>
      </c>
      <c r="U954" t="s">
        <v>371</v>
      </c>
      <c r="V954" t="s">
        <v>1486</v>
      </c>
    </row>
    <row r="955" spans="1:22" ht="16">
      <c r="A955" t="s">
        <v>2300</v>
      </c>
      <c r="B955" t="s">
        <v>2716</v>
      </c>
      <c r="C955" t="s">
        <v>24</v>
      </c>
      <c r="D955" t="s">
        <v>254</v>
      </c>
      <c r="E955" t="s">
        <v>45</v>
      </c>
      <c r="F955" t="s">
        <v>46</v>
      </c>
      <c r="G955" t="str">
        <f>HYPERLINK("https://www.facebook.com/926867993133334")</f>
        <v>https://www.facebook.com/926867993133334</v>
      </c>
      <c r="H955" t="s">
        <v>28</v>
      </c>
      <c r="I955" t="s">
        <v>2726</v>
      </c>
      <c r="K955" t="str">
        <f>HYPERLINK("https://www.facebook.com/100074304244467")</f>
        <v>https://www.facebook.com/100074304244467</v>
      </c>
      <c r="M955" t="s">
        <v>30</v>
      </c>
      <c r="N955" t="s">
        <v>31</v>
      </c>
      <c r="O955" t="s">
        <v>2726</v>
      </c>
      <c r="P955" t="str">
        <f>HYPERLINK("https://www.facebook.com/100074304244467")</f>
        <v>https://www.facebook.com/100074304244467</v>
      </c>
      <c r="R955" t="s">
        <v>32</v>
      </c>
      <c r="S955" t="s">
        <v>33</v>
      </c>
      <c r="T955" t="s">
        <v>34</v>
      </c>
      <c r="U955" t="s">
        <v>41</v>
      </c>
      <c r="V955" t="s">
        <v>42</v>
      </c>
    </row>
    <row r="956" spans="1:22" ht="16">
      <c r="A956" t="s">
        <v>2300</v>
      </c>
      <c r="B956" t="s">
        <v>169</v>
      </c>
      <c r="C956" t="s">
        <v>80</v>
      </c>
      <c r="D956" t="s">
        <v>2727</v>
      </c>
      <c r="E956" t="s">
        <v>74</v>
      </c>
      <c r="F956" t="s">
        <v>3</v>
      </c>
      <c r="G956" t="str">
        <f>HYPERLINK("https://www.facebook.com/westukrnews/posts/pfbid05KpJzZfAmc7DG6HMNPojmy3FDtYQBjx33JCcksAdDUDGcWNSDnn66BSqDiowXeWol?comment_id=1581280843095309")</f>
        <v>https://www.facebook.com/westukrnews/posts/pfbid05KpJzZfAmc7DG6HMNPojmy3FDtYQBjx33JCcksAdDUDGcWNSDnn66BSqDiowXeWol?comment_id=1581280843095309</v>
      </c>
      <c r="H956" t="s">
        <v>28</v>
      </c>
      <c r="I956" t="s">
        <v>2728</v>
      </c>
      <c r="K956" t="str">
        <f>HYPERLINK("https://www.facebook.com/100004347764919")</f>
        <v>https://www.facebook.com/100004347764919</v>
      </c>
      <c r="M956" t="s">
        <v>30</v>
      </c>
      <c r="N956" t="s">
        <v>31</v>
      </c>
      <c r="O956" t="s">
        <v>813</v>
      </c>
      <c r="P956" t="str">
        <f>HYPERLINK("https://www.facebook.com/264234810584424")</f>
        <v>https://www.facebook.com/264234810584424</v>
      </c>
      <c r="Q956">
        <v>559985</v>
      </c>
      <c r="R956" t="s">
        <v>32</v>
      </c>
      <c r="S956" t="s">
        <v>33</v>
      </c>
      <c r="T956" t="s">
        <v>34</v>
      </c>
      <c r="U956" t="s">
        <v>1308</v>
      </c>
      <c r="V956" t="s">
        <v>1309</v>
      </c>
    </row>
    <row r="957" spans="1:22" ht="16">
      <c r="A957" t="s">
        <v>2300</v>
      </c>
      <c r="B957" t="s">
        <v>1062</v>
      </c>
      <c r="C957" t="s">
        <v>80</v>
      </c>
      <c r="D957" t="s">
        <v>2729</v>
      </c>
      <c r="E957" t="s">
        <v>74</v>
      </c>
      <c r="F957" t="s">
        <v>3</v>
      </c>
      <c r="G957" t="str">
        <f>HYPERLINK("https://www.facebook.com/westukrnews/posts/pfbid05KpJzZfAmc7DG6HMNPojmy3FDtYQBjx33JCcksAdDUDGcWNSDnn66BSqDiowXeWol?comment_id=731617389887704")</f>
        <v>https://www.facebook.com/westukrnews/posts/pfbid05KpJzZfAmc7DG6HMNPojmy3FDtYQBjx33JCcksAdDUDGcWNSDnn66BSqDiowXeWol?comment_id=731617389887704</v>
      </c>
      <c r="H957" t="s">
        <v>28</v>
      </c>
      <c r="I957" t="s">
        <v>2730</v>
      </c>
      <c r="K957" t="str">
        <f>HYPERLINK("https://www.facebook.com/100015515927798")</f>
        <v>https://www.facebook.com/100015515927798</v>
      </c>
      <c r="M957" t="s">
        <v>40</v>
      </c>
      <c r="N957" t="s">
        <v>31</v>
      </c>
      <c r="O957" t="s">
        <v>813</v>
      </c>
      <c r="P957" t="str">
        <f>HYPERLINK("https://www.facebook.com/264234810584424")</f>
        <v>https://www.facebook.com/264234810584424</v>
      </c>
      <c r="Q957">
        <v>559985</v>
      </c>
      <c r="R957" t="s">
        <v>32</v>
      </c>
      <c r="S957" t="s">
        <v>85</v>
      </c>
      <c r="T957" t="s">
        <v>34</v>
      </c>
      <c r="U957" t="s">
        <v>487</v>
      </c>
      <c r="V957" t="s">
        <v>814</v>
      </c>
    </row>
    <row r="958" spans="1:20" ht="16">
      <c r="A958" t="s">
        <v>2300</v>
      </c>
      <c r="B958" t="s">
        <v>1062</v>
      </c>
      <c r="C958" t="s">
        <v>768</v>
      </c>
      <c r="D958" t="s">
        <v>2731</v>
      </c>
      <c r="E958" t="s">
        <v>74</v>
      </c>
      <c r="F958" t="s">
        <v>3</v>
      </c>
      <c r="G958" t="str">
        <f>HYPERLINK("https://www.facebook.com/toyelviv/posts/pfbid02HyVHmdRrHaKvpJCV4k8sSATEQmB44tvrgpepSrJQ66Qs74jVAzPQ6qaz5ZMHUoNBl?comment_id=769600045801128&amp;reply_comment_id=901542042261742")</f>
        <v>https://www.facebook.com/toyelviv/posts/pfbid02HyVHmdRrHaKvpJCV4k8sSATEQmB44tvrgpepSrJQ66Qs74jVAzPQ6qaz5ZMHUoNBl?comment_id=769600045801128&amp;reply_comment_id=901542042261742</v>
      </c>
      <c r="H958" t="s">
        <v>28</v>
      </c>
      <c r="I958" t="s">
        <v>2674</v>
      </c>
      <c r="K958" t="str">
        <f>HYPERLINK("https://www.facebook.com/100030606851043")</f>
        <v>https://www.facebook.com/100030606851043</v>
      </c>
      <c r="M958" t="s">
        <v>30</v>
      </c>
      <c r="N958" t="s">
        <v>31</v>
      </c>
      <c r="O958" t="s">
        <v>1559</v>
      </c>
      <c r="P958" t="str">
        <f>HYPERLINK("https://www.facebook.com/320892981422193")</f>
        <v>https://www.facebook.com/320892981422193</v>
      </c>
      <c r="Q958">
        <v>293869</v>
      </c>
      <c r="R958" t="s">
        <v>32</v>
      </c>
      <c r="S958" t="s">
        <v>85</v>
      </c>
      <c r="T958" t="s">
        <v>34</v>
      </c>
    </row>
    <row r="959" spans="1:19" ht="16">
      <c r="A959" t="s">
        <v>2300</v>
      </c>
      <c r="B959" t="s">
        <v>1062</v>
      </c>
      <c r="C959" t="s">
        <v>24</v>
      </c>
      <c r="D959" t="s">
        <v>44</v>
      </c>
      <c r="E959" t="s">
        <v>45</v>
      </c>
      <c r="F959" t="s">
        <v>46</v>
      </c>
      <c r="G959" t="str">
        <f>HYPERLINK("https://www.facebook.com/889866197256727")</f>
        <v>https://www.facebook.com/889866197256727</v>
      </c>
      <c r="H959" t="s">
        <v>28</v>
      </c>
      <c r="I959" t="s">
        <v>2732</v>
      </c>
      <c r="K959" t="str">
        <f>HYPERLINK("https://www.facebook.com/100860256159992")</f>
        <v>https://www.facebook.com/100860256159992</v>
      </c>
      <c r="L959">
        <v>2795</v>
      </c>
      <c r="M959" t="s">
        <v>345</v>
      </c>
      <c r="N959" t="s">
        <v>31</v>
      </c>
      <c r="O959" t="s">
        <v>2732</v>
      </c>
      <c r="P959" t="str">
        <f>HYPERLINK("https://www.facebook.com/100860256159992")</f>
        <v>https://www.facebook.com/100860256159992</v>
      </c>
      <c r="Q959">
        <v>2795</v>
      </c>
      <c r="R959" t="s">
        <v>32</v>
      </c>
      <c r="S959" t="s">
        <v>33</v>
      </c>
    </row>
    <row r="960" spans="1:20" ht="16">
      <c r="A960" t="s">
        <v>2300</v>
      </c>
      <c r="B960" t="s">
        <v>1065</v>
      </c>
      <c r="C960" t="s">
        <v>24</v>
      </c>
      <c r="D960" t="s">
        <v>2007</v>
      </c>
      <c r="E960" t="s">
        <v>45</v>
      </c>
      <c r="F960" t="s">
        <v>281</v>
      </c>
      <c r="G960" t="str">
        <f>HYPERLINK("https://twitter.com/VladDaniloff1/status/2027467706245447784")</f>
        <v>https://twitter.com/VladDaniloff1/status/2027467706245447784</v>
      </c>
      <c r="H960" t="s">
        <v>28</v>
      </c>
      <c r="I960" t="s">
        <v>2733</v>
      </c>
      <c r="J960" t="s">
        <v>2734</v>
      </c>
      <c r="K960" t="str">
        <f>HYPERLINK("http://twitter.com/VladDaniloff1")</f>
        <v>http://twitter.com/VladDaniloff1</v>
      </c>
      <c r="L960">
        <v>273</v>
      </c>
      <c r="M960" t="s">
        <v>40</v>
      </c>
      <c r="N960" t="s">
        <v>278</v>
      </c>
      <c r="R960" t="s">
        <v>32</v>
      </c>
      <c r="S960" t="s">
        <v>33</v>
      </c>
      <c r="T960" t="s">
        <v>2735</v>
      </c>
    </row>
    <row r="961" spans="1:22" ht="16">
      <c r="A961" t="s">
        <v>2300</v>
      </c>
      <c r="B961" t="s">
        <v>1065</v>
      </c>
      <c r="C961" t="s">
        <v>80</v>
      </c>
      <c r="D961" t="s">
        <v>2736</v>
      </c>
      <c r="E961" t="s">
        <v>74</v>
      </c>
      <c r="F961" t="s">
        <v>3</v>
      </c>
      <c r="G961" t="str">
        <f>HYPERLINK("https://www.facebook.com/permalink.php?story_fbid=pfbid02rbt51TUb57HR4F6gBd5FwSTuyaUp3gHvM6gsAExHboTPbUq2FdNvTKt3sBpRB8pml&amp;id=100006975138432&amp;comment_id=1674487867044899")</f>
        <v>https://www.facebook.com/permalink.php?story_fbid=pfbid02rbt51TUb57HR4F6gBd5FwSTuyaUp3gHvM6gsAExHboTPbUq2FdNvTKt3sBpRB8pml&amp;id=100006975138432&amp;comment_id=1674487867044899</v>
      </c>
      <c r="H961" t="s">
        <v>28</v>
      </c>
      <c r="I961" t="s">
        <v>2737</v>
      </c>
      <c r="J961" t="s">
        <v>2738</v>
      </c>
      <c r="K961" t="str">
        <f>HYPERLINK("https://www.facebook.com/100050900046377")</f>
        <v>https://www.facebook.com/100050900046377</v>
      </c>
      <c r="M961" t="s">
        <v>40</v>
      </c>
      <c r="N961" t="s">
        <v>31</v>
      </c>
      <c r="O961" t="s">
        <v>1399</v>
      </c>
      <c r="P961" t="str">
        <f>HYPERLINK("https://www.facebook.com/100006975138432")</f>
        <v>https://www.facebook.com/100006975138432</v>
      </c>
      <c r="R961" t="s">
        <v>32</v>
      </c>
      <c r="S961" t="s">
        <v>85</v>
      </c>
      <c r="T961" t="s">
        <v>62</v>
      </c>
      <c r="U961" t="s">
        <v>2739</v>
      </c>
      <c r="V961" t="s">
        <v>2740</v>
      </c>
    </row>
    <row r="962" spans="1:22" ht="16">
      <c r="A962" t="s">
        <v>2300</v>
      </c>
      <c r="B962" t="s">
        <v>1065</v>
      </c>
      <c r="C962" t="s">
        <v>24</v>
      </c>
      <c r="D962" t="s">
        <v>49</v>
      </c>
      <c r="E962" t="s">
        <v>45</v>
      </c>
      <c r="F962" t="s">
        <v>46</v>
      </c>
      <c r="G962" t="str">
        <f>HYPERLINK("https://www.facebook.com/1982477785947413")</f>
        <v>https://www.facebook.com/1982477785947413</v>
      </c>
      <c r="H962" t="s">
        <v>28</v>
      </c>
      <c r="I962" t="s">
        <v>2741</v>
      </c>
      <c r="K962" t="str">
        <f>HYPERLINK("https://www.facebook.com/100025556311795")</f>
        <v>https://www.facebook.com/100025556311795</v>
      </c>
      <c r="M962" t="s">
        <v>30</v>
      </c>
      <c r="N962" t="s">
        <v>31</v>
      </c>
      <c r="O962" t="s">
        <v>2741</v>
      </c>
      <c r="P962" t="str">
        <f>HYPERLINK("https://www.facebook.com/100025556311795")</f>
        <v>https://www.facebook.com/100025556311795</v>
      </c>
      <c r="R962" t="s">
        <v>32</v>
      </c>
      <c r="S962" t="s">
        <v>33</v>
      </c>
      <c r="T962" t="s">
        <v>34</v>
      </c>
      <c r="U962" t="s">
        <v>41</v>
      </c>
      <c r="V962" t="s">
        <v>2742</v>
      </c>
    </row>
    <row r="963" spans="1:19" ht="16">
      <c r="A963" t="s">
        <v>2300</v>
      </c>
      <c r="B963" t="s">
        <v>2743</v>
      </c>
      <c r="C963" t="s">
        <v>24</v>
      </c>
      <c r="D963" t="s">
        <v>875</v>
      </c>
      <c r="E963" t="s">
        <v>45</v>
      </c>
      <c r="F963" t="s">
        <v>102</v>
      </c>
      <c r="G963" t="str">
        <f>HYPERLINK("https://www.facebook.com/3053192791735020")</f>
        <v>https://www.facebook.com/3053192791735020</v>
      </c>
      <c r="H963" t="s">
        <v>28</v>
      </c>
      <c r="I963" t="s">
        <v>2744</v>
      </c>
      <c r="K963" t="str">
        <f>HYPERLINK("https://www.facebook.com/100011329865100")</f>
        <v>https://www.facebook.com/100011329865100</v>
      </c>
      <c r="M963" t="s">
        <v>30</v>
      </c>
      <c r="N963" t="s">
        <v>31</v>
      </c>
      <c r="O963" t="s">
        <v>2744</v>
      </c>
      <c r="P963" t="str">
        <f>HYPERLINK("https://www.facebook.com/100011329865100")</f>
        <v>https://www.facebook.com/100011329865100</v>
      </c>
      <c r="R963" t="s">
        <v>32</v>
      </c>
      <c r="S963" t="s">
        <v>33</v>
      </c>
    </row>
    <row r="964" spans="1:20" ht="16">
      <c r="A964" t="s">
        <v>2300</v>
      </c>
      <c r="B964" t="s">
        <v>2743</v>
      </c>
      <c r="C964" t="s">
        <v>24</v>
      </c>
      <c r="D964" t="s">
        <v>2007</v>
      </c>
      <c r="E964" t="s">
        <v>45</v>
      </c>
      <c r="F964" t="s">
        <v>281</v>
      </c>
      <c r="G964" t="str">
        <f>HYPERLINK("https://twitter.com/anaissvet/status/2027467316204548537")</f>
        <v>https://twitter.com/anaissvet/status/2027467316204548537</v>
      </c>
      <c r="H964" t="s">
        <v>28</v>
      </c>
      <c r="I964" t="s">
        <v>2659</v>
      </c>
      <c r="J964" t="s">
        <v>2660</v>
      </c>
      <c r="K964" t="str">
        <f>HYPERLINK("http://twitter.com/anaissvet")</f>
        <v>http://twitter.com/anaissvet</v>
      </c>
      <c r="L964">
        <v>125</v>
      </c>
      <c r="M964" t="s">
        <v>30</v>
      </c>
      <c r="N964" t="s">
        <v>278</v>
      </c>
      <c r="R964" t="s">
        <v>32</v>
      </c>
      <c r="S964" t="s">
        <v>33</v>
      </c>
      <c r="T964" t="s">
        <v>34</v>
      </c>
    </row>
    <row r="965" spans="1:20" ht="16">
      <c r="A965" t="s">
        <v>2300</v>
      </c>
      <c r="B965" t="s">
        <v>2743</v>
      </c>
      <c r="C965" t="s">
        <v>24</v>
      </c>
      <c r="D965" t="s">
        <v>2007</v>
      </c>
      <c r="E965" t="s">
        <v>45</v>
      </c>
      <c r="F965" t="s">
        <v>281</v>
      </c>
      <c r="G965" t="str">
        <f>HYPERLINK("https://twitter.com/PetrPihlik/status/2027467289243627888")</f>
        <v>https://twitter.com/PetrPihlik/status/2027467289243627888</v>
      </c>
      <c r="H965" t="s">
        <v>28</v>
      </c>
      <c r="I965" t="s">
        <v>2745</v>
      </c>
      <c r="J965" t="s">
        <v>2746</v>
      </c>
      <c r="K965" t="str">
        <f>HYPERLINK("http://twitter.com/PetrPihlik")</f>
        <v>http://twitter.com/PetrPihlik</v>
      </c>
      <c r="L965">
        <v>22</v>
      </c>
      <c r="M965" t="s">
        <v>40</v>
      </c>
      <c r="N965" t="s">
        <v>278</v>
      </c>
      <c r="R965" t="s">
        <v>32</v>
      </c>
      <c r="S965" t="s">
        <v>33</v>
      </c>
      <c r="T965" t="s">
        <v>34</v>
      </c>
    </row>
    <row r="966" spans="1:22" ht="16">
      <c r="A966" t="s">
        <v>2300</v>
      </c>
      <c r="B966" t="s">
        <v>2747</v>
      </c>
      <c r="C966" t="s">
        <v>24</v>
      </c>
      <c r="D966" t="s">
        <v>49</v>
      </c>
      <c r="E966" t="s">
        <v>45</v>
      </c>
      <c r="F966" t="s">
        <v>46</v>
      </c>
      <c r="G966" t="str">
        <f>HYPERLINK("https://www.facebook.com/26484410691166138")</f>
        <v>https://www.facebook.com/26484410691166138</v>
      </c>
      <c r="H966" t="s">
        <v>28</v>
      </c>
      <c r="I966" t="s">
        <v>2748</v>
      </c>
      <c r="J966" t="s">
        <v>2749</v>
      </c>
      <c r="K966" t="str">
        <f>HYPERLINK("https://www.facebook.com/100020158839287")</f>
        <v>https://www.facebook.com/100020158839287</v>
      </c>
      <c r="M966" t="s">
        <v>30</v>
      </c>
      <c r="N966" t="s">
        <v>31</v>
      </c>
      <c r="O966" t="s">
        <v>2750</v>
      </c>
      <c r="P966" t="str">
        <f>HYPERLINK("https://www.facebook.com/893618914005334")</f>
        <v>https://www.facebook.com/893618914005334</v>
      </c>
      <c r="Q966">
        <v>9051</v>
      </c>
      <c r="R966" t="s">
        <v>32</v>
      </c>
      <c r="S966" t="s">
        <v>33</v>
      </c>
      <c r="T966" t="s">
        <v>34</v>
      </c>
      <c r="U966" t="s">
        <v>41</v>
      </c>
      <c r="V966" t="s">
        <v>42</v>
      </c>
    </row>
    <row r="967" spans="1:22" ht="16">
      <c r="A967" t="s">
        <v>2300</v>
      </c>
      <c r="B967" t="s">
        <v>2747</v>
      </c>
      <c r="C967" t="s">
        <v>80</v>
      </c>
      <c r="D967" t="s">
        <v>2751</v>
      </c>
      <c r="E967" t="s">
        <v>74</v>
      </c>
      <c r="F967" t="s">
        <v>3</v>
      </c>
      <c r="G967" t="str">
        <f>HYPERLINK("https://www.facebook.com/westukrnews/posts/pfbid05KpJzZfAmc7DG6HMNPojmy3FDtYQBjx33JCcksAdDUDGcWNSDnn66BSqDiowXeWol?comment_id=1955208345384575&amp;reply_comment_id=1462097745467544")</f>
        <v>https://www.facebook.com/westukrnews/posts/pfbid05KpJzZfAmc7DG6HMNPojmy3FDtYQBjx33JCcksAdDUDGcWNSDnn66BSqDiowXeWol?comment_id=1955208345384575&amp;reply_comment_id=1462097745467544</v>
      </c>
      <c r="H967" t="s">
        <v>28</v>
      </c>
      <c r="I967" t="s">
        <v>2752</v>
      </c>
      <c r="K967" t="str">
        <f>HYPERLINK("https://www.facebook.com/100021825645075")</f>
        <v>https://www.facebook.com/100021825645075</v>
      </c>
      <c r="M967" t="s">
        <v>30</v>
      </c>
      <c r="N967" t="s">
        <v>31</v>
      </c>
      <c r="O967" t="s">
        <v>813</v>
      </c>
      <c r="P967" t="str">
        <f>HYPERLINK("https://www.facebook.com/264234810584424")</f>
        <v>https://www.facebook.com/264234810584424</v>
      </c>
      <c r="Q967">
        <v>559985</v>
      </c>
      <c r="R967" t="s">
        <v>32</v>
      </c>
      <c r="S967" t="s">
        <v>85</v>
      </c>
      <c r="T967" t="s">
        <v>34</v>
      </c>
      <c r="U967" t="s">
        <v>41</v>
      </c>
      <c r="V967" t="s">
        <v>42</v>
      </c>
    </row>
    <row r="968" spans="1:20" ht="16">
      <c r="A968" t="s">
        <v>2300</v>
      </c>
      <c r="B968" t="s">
        <v>2753</v>
      </c>
      <c r="C968" t="s">
        <v>24</v>
      </c>
      <c r="D968" t="s">
        <v>2007</v>
      </c>
      <c r="E968" t="s">
        <v>45</v>
      </c>
      <c r="F968" t="s">
        <v>281</v>
      </c>
      <c r="G968" t="str">
        <f>HYPERLINK("https://twitter.com/rampant7096/status/2027466756810317828")</f>
        <v>https://twitter.com/rampant7096/status/2027466756810317828</v>
      </c>
      <c r="H968" t="s">
        <v>28</v>
      </c>
      <c r="I968" t="s">
        <v>958</v>
      </c>
      <c r="J968" t="s">
        <v>959</v>
      </c>
      <c r="K968" t="str">
        <f>HYPERLINK("http://twitter.com/rampant7096")</f>
        <v>http://twitter.com/rampant7096</v>
      </c>
      <c r="L968">
        <v>15</v>
      </c>
      <c r="M968" t="s">
        <v>40</v>
      </c>
      <c r="N968" t="s">
        <v>278</v>
      </c>
      <c r="R968" t="s">
        <v>32</v>
      </c>
      <c r="S968" t="s">
        <v>33</v>
      </c>
      <c r="T968" t="s">
        <v>34</v>
      </c>
    </row>
    <row r="969" spans="1:22" ht="16">
      <c r="A969" t="s">
        <v>2300</v>
      </c>
      <c r="B969" t="s">
        <v>2753</v>
      </c>
      <c r="C969" t="s">
        <v>24</v>
      </c>
      <c r="D969" t="s">
        <v>44</v>
      </c>
      <c r="E969" t="s">
        <v>45</v>
      </c>
      <c r="F969" t="s">
        <v>46</v>
      </c>
      <c r="G969" t="str">
        <f>HYPERLINK("https://www.facebook.com/2654282534949154")</f>
        <v>https://www.facebook.com/2654282534949154</v>
      </c>
      <c r="H969" t="s">
        <v>28</v>
      </c>
      <c r="I969" t="s">
        <v>2754</v>
      </c>
      <c r="K969" t="str">
        <f>HYPERLINK("https://www.facebook.com/100011022995244")</f>
        <v>https://www.facebook.com/100011022995244</v>
      </c>
      <c r="M969" t="s">
        <v>40</v>
      </c>
      <c r="N969" t="s">
        <v>31</v>
      </c>
      <c r="O969" t="s">
        <v>2754</v>
      </c>
      <c r="P969" t="str">
        <f>HYPERLINK("https://www.facebook.com/100011022995244")</f>
        <v>https://www.facebook.com/100011022995244</v>
      </c>
      <c r="R969" t="s">
        <v>32</v>
      </c>
      <c r="S969" t="s">
        <v>33</v>
      </c>
      <c r="T969" t="s">
        <v>192</v>
      </c>
      <c r="U969" t="s">
        <v>193</v>
      </c>
      <c r="V969" t="s">
        <v>2755</v>
      </c>
    </row>
    <row r="970" spans="1:22" ht="16">
      <c r="A970" t="s">
        <v>2300</v>
      </c>
      <c r="B970" t="s">
        <v>1075</v>
      </c>
      <c r="C970" t="s">
        <v>80</v>
      </c>
      <c r="D970" t="s">
        <v>2756</v>
      </c>
      <c r="E970" t="s">
        <v>74</v>
      </c>
      <c r="F970" t="s">
        <v>3</v>
      </c>
      <c r="G970" t="str">
        <f>HYPERLINK("https://www.facebook.com/westukrnews/posts/pfbid05KpJzZfAmc7DG6HMNPojmy3FDtYQBjx33JCcksAdDUDGcWNSDnn66BSqDiowXeWol?comment_id=807645738312317")</f>
        <v>https://www.facebook.com/westukrnews/posts/pfbid05KpJzZfAmc7DG6HMNPojmy3FDtYQBjx33JCcksAdDUDGcWNSDnn66BSqDiowXeWol?comment_id=807645738312317</v>
      </c>
      <c r="H970" t="s">
        <v>28</v>
      </c>
      <c r="I970" t="s">
        <v>2757</v>
      </c>
      <c r="K970" t="str">
        <f>HYPERLINK("https://www.facebook.com/100021826911890")</f>
        <v>https://www.facebook.com/100021826911890</v>
      </c>
      <c r="M970" t="s">
        <v>30</v>
      </c>
      <c r="N970" t="s">
        <v>31</v>
      </c>
      <c r="O970" t="s">
        <v>813</v>
      </c>
      <c r="P970" t="str">
        <f>HYPERLINK("https://www.facebook.com/264234810584424")</f>
        <v>https://www.facebook.com/264234810584424</v>
      </c>
      <c r="Q970">
        <v>559985</v>
      </c>
      <c r="R970" t="s">
        <v>32</v>
      </c>
      <c r="S970" t="s">
        <v>188</v>
      </c>
      <c r="T970" t="s">
        <v>34</v>
      </c>
      <c r="U970" t="s">
        <v>899</v>
      </c>
      <c r="V970" t="s">
        <v>2758</v>
      </c>
    </row>
    <row r="971" spans="1:22" ht="16">
      <c r="A971" t="s">
        <v>2300</v>
      </c>
      <c r="B971" t="s">
        <v>1075</v>
      </c>
      <c r="C971" t="s">
        <v>768</v>
      </c>
      <c r="D971" t="s">
        <v>2759</v>
      </c>
      <c r="E971" t="s">
        <v>74</v>
      </c>
      <c r="F971" t="s">
        <v>3</v>
      </c>
      <c r="G971" t="str">
        <f>HYPERLINK("https://www.facebook.com/toyelviv/posts/pfbid02HyVHmdRrHaKvpJCV4k8sSATEQmB44tvrgpepSrJQ66Qs74jVAzPQ6qaz5ZMHUoNBl?comment_id=769600045801128")</f>
        <v>https://www.facebook.com/toyelviv/posts/pfbid02HyVHmdRrHaKvpJCV4k8sSATEQmB44tvrgpepSrJQ66Qs74jVAzPQ6qaz5ZMHUoNBl?comment_id=769600045801128</v>
      </c>
      <c r="H971" t="s">
        <v>28</v>
      </c>
      <c r="I971" t="s">
        <v>2711</v>
      </c>
      <c r="J971" t="s">
        <v>2712</v>
      </c>
      <c r="K971" t="str">
        <f>HYPERLINK("https://www.facebook.com/1433244780")</f>
        <v>https://www.facebook.com/1433244780</v>
      </c>
      <c r="M971" t="s">
        <v>30</v>
      </c>
      <c r="N971" t="s">
        <v>31</v>
      </c>
      <c r="O971" t="s">
        <v>1559</v>
      </c>
      <c r="P971" t="str">
        <f>HYPERLINK("https://www.facebook.com/320892981422193")</f>
        <v>https://www.facebook.com/320892981422193</v>
      </c>
      <c r="Q971">
        <v>293869</v>
      </c>
      <c r="R971" t="s">
        <v>32</v>
      </c>
      <c r="S971" t="s">
        <v>33</v>
      </c>
      <c r="T971" t="s">
        <v>2433</v>
      </c>
      <c r="U971" t="s">
        <v>2434</v>
      </c>
      <c r="V971" t="s">
        <v>2435</v>
      </c>
    </row>
    <row r="972" spans="1:22" ht="16">
      <c r="A972" t="s">
        <v>2300</v>
      </c>
      <c r="B972" t="s">
        <v>1075</v>
      </c>
      <c r="C972" t="s">
        <v>80</v>
      </c>
      <c r="D972" t="s">
        <v>2760</v>
      </c>
      <c r="E972" t="s">
        <v>74</v>
      </c>
      <c r="F972" t="s">
        <v>3</v>
      </c>
      <c r="G972" t="str">
        <f>HYPERLINK("https://www.facebook.com/westukrnews/posts/pfbid05KpJzZfAmc7DG6HMNPojmy3FDtYQBjx33JCcksAdDUDGcWNSDnn66BSqDiowXeWol?comment_id=967770492249176")</f>
        <v>https://www.facebook.com/westukrnews/posts/pfbid05KpJzZfAmc7DG6HMNPojmy3FDtYQBjx33JCcksAdDUDGcWNSDnn66BSqDiowXeWol?comment_id=967770492249176</v>
      </c>
      <c r="H972" t="s">
        <v>28</v>
      </c>
      <c r="I972" t="s">
        <v>2761</v>
      </c>
      <c r="K972" t="str">
        <f>HYPERLINK("https://www.facebook.com/100034033180829")</f>
        <v>https://www.facebook.com/100034033180829</v>
      </c>
      <c r="L972">
        <v>85</v>
      </c>
      <c r="M972" t="s">
        <v>40</v>
      </c>
      <c r="N972" t="s">
        <v>31</v>
      </c>
      <c r="O972" t="s">
        <v>813</v>
      </c>
      <c r="P972" t="str">
        <f>HYPERLINK("https://www.facebook.com/264234810584424")</f>
        <v>https://www.facebook.com/264234810584424</v>
      </c>
      <c r="Q972">
        <v>559985</v>
      </c>
      <c r="R972" t="s">
        <v>32</v>
      </c>
      <c r="S972" t="s">
        <v>33</v>
      </c>
      <c r="T972" t="s">
        <v>34</v>
      </c>
      <c r="U972" t="s">
        <v>487</v>
      </c>
      <c r="V972" t="s">
        <v>814</v>
      </c>
    </row>
    <row r="973" spans="1:22" ht="16">
      <c r="A973" t="s">
        <v>2300</v>
      </c>
      <c r="B973" t="s">
        <v>1075</v>
      </c>
      <c r="C973" t="s">
        <v>80</v>
      </c>
      <c r="D973" t="s">
        <v>2762</v>
      </c>
      <c r="E973" t="s">
        <v>74</v>
      </c>
      <c r="F973" t="s">
        <v>3</v>
      </c>
      <c r="G973" t="str">
        <f>HYPERLINK("https://www.facebook.com/westukrnews/posts/pfbid05KpJzZfAmc7DG6HMNPojmy3FDtYQBjx33JCcksAdDUDGcWNSDnn66BSqDiowXeWol?comment_id=937074595363251")</f>
        <v>https://www.facebook.com/westukrnews/posts/pfbid05KpJzZfAmc7DG6HMNPojmy3FDtYQBjx33JCcksAdDUDGcWNSDnn66BSqDiowXeWol?comment_id=937074595363251</v>
      </c>
      <c r="H973" t="s">
        <v>28</v>
      </c>
      <c r="I973" t="s">
        <v>2763</v>
      </c>
      <c r="J973" t="s">
        <v>2764</v>
      </c>
      <c r="K973" t="str">
        <f>HYPERLINK("https://www.facebook.com/100013351902618")</f>
        <v>https://www.facebook.com/100013351902618</v>
      </c>
      <c r="M973" t="s">
        <v>40</v>
      </c>
      <c r="N973" t="s">
        <v>31</v>
      </c>
      <c r="O973" t="s">
        <v>813</v>
      </c>
      <c r="P973" t="str">
        <f>HYPERLINK("https://www.facebook.com/264234810584424")</f>
        <v>https://www.facebook.com/264234810584424</v>
      </c>
      <c r="Q973">
        <v>559985</v>
      </c>
      <c r="R973" t="s">
        <v>32</v>
      </c>
      <c r="S973" t="s">
        <v>33</v>
      </c>
      <c r="T973" t="s">
        <v>34</v>
      </c>
      <c r="U973" t="s">
        <v>77</v>
      </c>
      <c r="V973" t="s">
        <v>2765</v>
      </c>
    </row>
    <row r="974" spans="1:22" ht="16">
      <c r="A974" t="s">
        <v>2300</v>
      </c>
      <c r="B974" t="s">
        <v>2766</v>
      </c>
      <c r="C974" t="s">
        <v>80</v>
      </c>
      <c r="D974" t="s">
        <v>2767</v>
      </c>
      <c r="E974" t="s">
        <v>74</v>
      </c>
      <c r="F974" t="s">
        <v>3</v>
      </c>
      <c r="G974" t="str">
        <f>HYPERLINK("https://www.facebook.com/westukrnews/posts/pfbid05KpJzZfAmc7DG6HMNPojmy3FDtYQBjx33JCcksAdDUDGcWNSDnn66BSqDiowXeWol?comment_id=1158589472958252")</f>
        <v>https://www.facebook.com/westukrnews/posts/pfbid05KpJzZfAmc7DG6HMNPojmy3FDtYQBjx33JCcksAdDUDGcWNSDnn66BSqDiowXeWol?comment_id=1158589472958252</v>
      </c>
      <c r="H974" t="s">
        <v>28</v>
      </c>
      <c r="I974" t="s">
        <v>2768</v>
      </c>
      <c r="K974" t="str">
        <f>HYPERLINK("https://www.facebook.com/100047624191675")</f>
        <v>https://www.facebook.com/100047624191675</v>
      </c>
      <c r="M974" t="s">
        <v>30</v>
      </c>
      <c r="N974" t="s">
        <v>31</v>
      </c>
      <c r="O974" t="s">
        <v>813</v>
      </c>
      <c r="P974" t="str">
        <f>HYPERLINK("https://www.facebook.com/264234810584424")</f>
        <v>https://www.facebook.com/264234810584424</v>
      </c>
      <c r="Q974">
        <v>559985</v>
      </c>
      <c r="R974" t="s">
        <v>32</v>
      </c>
      <c r="S974" t="s">
        <v>33</v>
      </c>
      <c r="T974" t="s">
        <v>34</v>
      </c>
      <c r="U974" t="s">
        <v>167</v>
      </c>
      <c r="V974" t="s">
        <v>189</v>
      </c>
    </row>
    <row r="975" spans="1:22" ht="16">
      <c r="A975" t="s">
        <v>2300</v>
      </c>
      <c r="B975" t="s">
        <v>2766</v>
      </c>
      <c r="C975" t="s">
        <v>80</v>
      </c>
      <c r="D975" t="s">
        <v>2769</v>
      </c>
      <c r="E975" t="s">
        <v>74</v>
      </c>
      <c r="F975" t="s">
        <v>3</v>
      </c>
      <c r="G975" t="str">
        <f>HYPERLINK("https://www.facebook.com/permalink.php?story_fbid=pfbid02rbt51TUb57HR4F6gBd5FwSTuyaUp3gHvM6gsAExHboTPbUq2FdNvTKt3sBpRB8pml&amp;id=100006975138432&amp;comment_id=1459774322338189")</f>
        <v>https://www.facebook.com/permalink.php?story_fbid=pfbid02rbt51TUb57HR4F6gBd5FwSTuyaUp3gHvM6gsAExHboTPbUq2FdNvTKt3sBpRB8pml&amp;id=100006975138432&amp;comment_id=1459774322338189</v>
      </c>
      <c r="H975" t="s">
        <v>28</v>
      </c>
      <c r="I975" t="s">
        <v>2770</v>
      </c>
      <c r="K975" t="str">
        <f>HYPERLINK("https://www.facebook.com/100046113709509")</f>
        <v>https://www.facebook.com/100046113709509</v>
      </c>
      <c r="M975" t="s">
        <v>30</v>
      </c>
      <c r="N975" t="s">
        <v>31</v>
      </c>
      <c r="O975" t="s">
        <v>1399</v>
      </c>
      <c r="P975" t="str">
        <f>HYPERLINK("https://www.facebook.com/100006975138432")</f>
        <v>https://www.facebook.com/100006975138432</v>
      </c>
      <c r="R975" t="s">
        <v>32</v>
      </c>
      <c r="S975" t="s">
        <v>57</v>
      </c>
      <c r="T975" t="s">
        <v>34</v>
      </c>
      <c r="U975" t="s">
        <v>235</v>
      </c>
      <c r="V975" t="s">
        <v>1061</v>
      </c>
    </row>
    <row r="976" spans="1:22" ht="16">
      <c r="A976" t="s">
        <v>2300</v>
      </c>
      <c r="B976" t="s">
        <v>2766</v>
      </c>
      <c r="C976" t="s">
        <v>768</v>
      </c>
      <c r="D976" t="s">
        <v>2771</v>
      </c>
      <c r="E976" t="s">
        <v>74</v>
      </c>
      <c r="F976" t="s">
        <v>3</v>
      </c>
      <c r="G976" t="str">
        <f>HYPERLINK("https://www.facebook.com/toyelviv/posts/pfbid02HyVHmdRrHaKvpJCV4k8sSATEQmB44tvrgpepSrJQ66Qs74jVAzPQ6qaz5ZMHUoNBl?comment_id=1233769835625840")</f>
        <v>https://www.facebook.com/toyelviv/posts/pfbid02HyVHmdRrHaKvpJCV4k8sSATEQmB44tvrgpepSrJQ66Qs74jVAzPQ6qaz5ZMHUoNBl?comment_id=1233769835625840</v>
      </c>
      <c r="H976" t="s">
        <v>28</v>
      </c>
      <c r="I976" t="s">
        <v>2772</v>
      </c>
      <c r="K976" t="str">
        <f>HYPERLINK("https://www.facebook.com/100008811009618")</f>
        <v>https://www.facebook.com/100008811009618</v>
      </c>
      <c r="L976">
        <v>115</v>
      </c>
      <c r="M976" t="s">
        <v>30</v>
      </c>
      <c r="N976" t="s">
        <v>31</v>
      </c>
      <c r="O976" t="s">
        <v>1559</v>
      </c>
      <c r="P976" t="str">
        <f>HYPERLINK("https://www.facebook.com/320892981422193")</f>
        <v>https://www.facebook.com/320892981422193</v>
      </c>
      <c r="Q976">
        <v>293869</v>
      </c>
      <c r="R976" t="s">
        <v>32</v>
      </c>
      <c r="S976" t="s">
        <v>85</v>
      </c>
      <c r="T976" t="s">
        <v>117</v>
      </c>
      <c r="U976" t="s">
        <v>2017</v>
      </c>
      <c r="V976" t="s">
        <v>2017</v>
      </c>
    </row>
    <row r="977" spans="1:20" ht="16">
      <c r="A977" t="s">
        <v>2300</v>
      </c>
      <c r="B977" t="s">
        <v>2773</v>
      </c>
      <c r="C977" t="s">
        <v>24</v>
      </c>
      <c r="D977" t="s">
        <v>2774</v>
      </c>
      <c r="E977" t="s">
        <v>101</v>
      </c>
      <c r="F977" t="s">
        <v>281</v>
      </c>
      <c r="G977" t="str">
        <f>HYPERLINK("https://twitter.com/DomkaArkhipivna/status/2027465688160325645")</f>
        <v>https://twitter.com/DomkaArkhipivna/status/2027465688160325645</v>
      </c>
      <c r="H977" t="s">
        <v>28</v>
      </c>
      <c r="I977" t="s">
        <v>2775</v>
      </c>
      <c r="J977" t="s">
        <v>2776</v>
      </c>
      <c r="K977" t="str">
        <f>HYPERLINK("http://twitter.com/DomkaArkhipivna")</f>
        <v>http://twitter.com/DomkaArkhipivna</v>
      </c>
      <c r="L977">
        <v>621</v>
      </c>
      <c r="N977" t="s">
        <v>278</v>
      </c>
      <c r="R977" t="s">
        <v>32</v>
      </c>
      <c r="S977" t="s">
        <v>33</v>
      </c>
      <c r="T977" t="s">
        <v>34</v>
      </c>
    </row>
    <row r="978" spans="1:22" ht="16">
      <c r="A978" t="s">
        <v>2300</v>
      </c>
      <c r="B978" t="s">
        <v>2773</v>
      </c>
      <c r="C978" t="s">
        <v>24</v>
      </c>
      <c r="D978" t="s">
        <v>2007</v>
      </c>
      <c r="E978" t="s">
        <v>45</v>
      </c>
      <c r="F978" t="s">
        <v>281</v>
      </c>
      <c r="G978" t="str">
        <f>HYPERLINK("https://twitter.com/RZmHhzmQ1vx3uij/status/2027465654639469043")</f>
        <v>https://twitter.com/RZmHhzmQ1vx3uij/status/2027465654639469043</v>
      </c>
      <c r="H978" t="s">
        <v>28</v>
      </c>
      <c r="I978" t="s">
        <v>2777</v>
      </c>
      <c r="J978" t="s">
        <v>2778</v>
      </c>
      <c r="K978" t="str">
        <f>HYPERLINK("http://twitter.com/RZmHhzmQ1vx3uij")</f>
        <v>http://twitter.com/RZmHhzmQ1vx3uij</v>
      </c>
      <c r="L978">
        <v>77</v>
      </c>
      <c r="M978" t="s">
        <v>40</v>
      </c>
      <c r="N978" t="s">
        <v>278</v>
      </c>
      <c r="R978" t="s">
        <v>32</v>
      </c>
      <c r="S978" t="s">
        <v>33</v>
      </c>
      <c r="T978" t="s">
        <v>34</v>
      </c>
      <c r="U978" t="s">
        <v>58</v>
      </c>
      <c r="V978" t="s">
        <v>58</v>
      </c>
    </row>
    <row r="979" spans="1:19" ht="16">
      <c r="A979" t="s">
        <v>2300</v>
      </c>
      <c r="B979" t="s">
        <v>1084</v>
      </c>
      <c r="C979" t="s">
        <v>24</v>
      </c>
      <c r="D979" t="s">
        <v>44</v>
      </c>
      <c r="E979" t="s">
        <v>45</v>
      </c>
      <c r="F979" t="s">
        <v>46</v>
      </c>
      <c r="G979" t="str">
        <f>HYPERLINK("https://www.facebook.com/1453496043020558")</f>
        <v>https://www.facebook.com/1453496043020558</v>
      </c>
      <c r="H979" t="s">
        <v>28</v>
      </c>
      <c r="I979" t="s">
        <v>2779</v>
      </c>
      <c r="K979" t="str">
        <f>HYPERLINK("https://www.facebook.com/100050805282321")</f>
        <v>https://www.facebook.com/100050805282321</v>
      </c>
      <c r="M979" t="s">
        <v>40</v>
      </c>
      <c r="N979" t="s">
        <v>31</v>
      </c>
      <c r="O979" t="s">
        <v>2779</v>
      </c>
      <c r="P979" t="str">
        <f>HYPERLINK("https://www.facebook.com/100050805282321")</f>
        <v>https://www.facebook.com/100050805282321</v>
      </c>
      <c r="R979" t="s">
        <v>32</v>
      </c>
      <c r="S979" t="s">
        <v>33</v>
      </c>
    </row>
    <row r="980" spans="1:19" ht="16">
      <c r="A980" t="s">
        <v>2300</v>
      </c>
      <c r="B980" t="s">
        <v>1087</v>
      </c>
      <c r="C980" t="s">
        <v>24</v>
      </c>
      <c r="D980" t="s">
        <v>875</v>
      </c>
      <c r="E980" t="s">
        <v>26</v>
      </c>
      <c r="F980" t="s">
        <v>102</v>
      </c>
      <c r="G980" t="str">
        <f>HYPERLINK("https://www.facebook.com/1867090590758246")</f>
        <v>https://www.facebook.com/1867090590758246</v>
      </c>
      <c r="H980" t="s">
        <v>28</v>
      </c>
      <c r="I980" t="s">
        <v>2411</v>
      </c>
      <c r="K980" t="str">
        <f>HYPERLINK("https://www.facebook.com/100080107309637")</f>
        <v>https://www.facebook.com/100080107309637</v>
      </c>
      <c r="M980" t="s">
        <v>30</v>
      </c>
      <c r="N980" t="s">
        <v>31</v>
      </c>
      <c r="O980" t="s">
        <v>2443</v>
      </c>
      <c r="P980" t="str">
        <f>HYPERLINK("https://www.facebook.com/466030927530893")</f>
        <v>https://www.facebook.com/466030927530893</v>
      </c>
      <c r="Q980">
        <v>3673</v>
      </c>
      <c r="R980" t="s">
        <v>32</v>
      </c>
      <c r="S980" t="s">
        <v>33</v>
      </c>
    </row>
    <row r="981" spans="1:22" ht="16">
      <c r="A981" t="s">
        <v>2300</v>
      </c>
      <c r="B981" t="s">
        <v>1087</v>
      </c>
      <c r="C981" t="s">
        <v>80</v>
      </c>
      <c r="D981" t="s">
        <v>2780</v>
      </c>
      <c r="E981" t="s">
        <v>74</v>
      </c>
      <c r="F981" t="s">
        <v>3</v>
      </c>
      <c r="G981" t="str">
        <f>HYPERLINK("https://www.facebook.com/westukrnews/posts/pfbid05KpJzZfAmc7DG6HMNPojmy3FDtYQBjx33JCcksAdDUDGcWNSDnn66BSqDiowXeWol?comment_id=945748564630633")</f>
        <v>https://www.facebook.com/westukrnews/posts/pfbid05KpJzZfAmc7DG6HMNPojmy3FDtYQBjx33JCcksAdDUDGcWNSDnn66BSqDiowXeWol?comment_id=945748564630633</v>
      </c>
      <c r="H981" t="s">
        <v>28</v>
      </c>
      <c r="I981" t="s">
        <v>2781</v>
      </c>
      <c r="K981" t="str">
        <f>HYPERLINK("https://www.facebook.com/100053271486786")</f>
        <v>https://www.facebook.com/100053271486786</v>
      </c>
      <c r="M981" t="s">
        <v>30</v>
      </c>
      <c r="N981" t="s">
        <v>31</v>
      </c>
      <c r="O981" t="s">
        <v>813</v>
      </c>
      <c r="P981" t="str">
        <f>HYPERLINK("https://www.facebook.com/264234810584424")</f>
        <v>https://www.facebook.com/264234810584424</v>
      </c>
      <c r="Q981">
        <v>559985</v>
      </c>
      <c r="R981" t="s">
        <v>32</v>
      </c>
      <c r="S981" t="s">
        <v>33</v>
      </c>
      <c r="T981" t="s">
        <v>34</v>
      </c>
      <c r="U981" t="s">
        <v>487</v>
      </c>
      <c r="V981" t="s">
        <v>814</v>
      </c>
    </row>
    <row r="982" spans="1:19" ht="16">
      <c r="A982" t="s">
        <v>2300</v>
      </c>
      <c r="B982" t="s">
        <v>1087</v>
      </c>
      <c r="C982" t="s">
        <v>24</v>
      </c>
      <c r="D982" t="s">
        <v>875</v>
      </c>
      <c r="E982" t="s">
        <v>26</v>
      </c>
      <c r="F982" t="s">
        <v>102</v>
      </c>
      <c r="G982" t="str">
        <f>HYPERLINK("https://www.facebook.com/923224120357823")</f>
        <v>https://www.facebook.com/923224120357823</v>
      </c>
      <c r="H982" t="s">
        <v>28</v>
      </c>
      <c r="I982" t="s">
        <v>2782</v>
      </c>
      <c r="K982" t="str">
        <f>HYPERLINK("https://www.facebook.com/100080107309637")</f>
        <v>https://www.facebook.com/100080107309637</v>
      </c>
      <c r="M982" t="s">
        <v>30</v>
      </c>
      <c r="N982" t="s">
        <v>31</v>
      </c>
      <c r="O982" t="s">
        <v>2782</v>
      </c>
      <c r="P982" t="str">
        <f>HYPERLINK("https://www.facebook.com/100080107309637")</f>
        <v>https://www.facebook.com/100080107309637</v>
      </c>
      <c r="R982" t="s">
        <v>32</v>
      </c>
      <c r="S982" t="s">
        <v>33</v>
      </c>
    </row>
    <row r="983" spans="1:22" ht="16">
      <c r="A983" t="s">
        <v>2300</v>
      </c>
      <c r="B983" t="s">
        <v>2783</v>
      </c>
      <c r="C983" t="s">
        <v>80</v>
      </c>
      <c r="D983" t="s">
        <v>2784</v>
      </c>
      <c r="E983" t="s">
        <v>74</v>
      </c>
      <c r="F983" t="s">
        <v>3</v>
      </c>
      <c r="G983" t="str">
        <f>HYPERLINK("https://www.facebook.com/westukrnews/posts/pfbid05KpJzZfAmc7DG6HMNPojmy3FDtYQBjx33JCcksAdDUDGcWNSDnn66BSqDiowXeWol?comment_id=932967226080248")</f>
        <v>https://www.facebook.com/westukrnews/posts/pfbid05KpJzZfAmc7DG6HMNPojmy3FDtYQBjx33JCcksAdDUDGcWNSDnn66BSqDiowXeWol?comment_id=932967226080248</v>
      </c>
      <c r="H983" t="s">
        <v>28</v>
      </c>
      <c r="I983" t="s">
        <v>2785</v>
      </c>
      <c r="K983" t="str">
        <f>HYPERLINK("https://www.facebook.com/100046344435730")</f>
        <v>https://www.facebook.com/100046344435730</v>
      </c>
      <c r="M983" t="s">
        <v>30</v>
      </c>
      <c r="N983" t="s">
        <v>31</v>
      </c>
      <c r="O983" t="s">
        <v>813</v>
      </c>
      <c r="P983" t="str">
        <f>HYPERLINK("https://www.facebook.com/264234810584424")</f>
        <v>https://www.facebook.com/264234810584424</v>
      </c>
      <c r="Q983">
        <v>559985</v>
      </c>
      <c r="R983" t="s">
        <v>32</v>
      </c>
      <c r="S983" t="s">
        <v>33</v>
      </c>
      <c r="T983" t="s">
        <v>34</v>
      </c>
      <c r="U983" t="s">
        <v>487</v>
      </c>
      <c r="V983" t="s">
        <v>814</v>
      </c>
    </row>
    <row r="984" spans="1:22" ht="16">
      <c r="A984" t="s">
        <v>2300</v>
      </c>
      <c r="B984" t="s">
        <v>2783</v>
      </c>
      <c r="C984" t="s">
        <v>80</v>
      </c>
      <c r="D984" t="s">
        <v>2786</v>
      </c>
      <c r="E984" t="s">
        <v>74</v>
      </c>
      <c r="F984" t="s">
        <v>3</v>
      </c>
      <c r="G984" t="str">
        <f>HYPERLINK("https://www.facebook.com/westukrnews/posts/pfbid05KpJzZfAmc7DG6HMNPojmy3FDtYQBjx33JCcksAdDUDGcWNSDnn66BSqDiowXeWol?comment_id=1460699039016171")</f>
        <v>https://www.facebook.com/westukrnews/posts/pfbid05KpJzZfAmc7DG6HMNPojmy3FDtYQBjx33JCcksAdDUDGcWNSDnn66BSqDiowXeWol?comment_id=1460699039016171</v>
      </c>
      <c r="H984" t="s">
        <v>28</v>
      </c>
      <c r="I984" t="s">
        <v>2787</v>
      </c>
      <c r="K984" t="str">
        <f>HYPERLINK("https://www.facebook.com/100028826869772")</f>
        <v>https://www.facebook.com/100028826869772</v>
      </c>
      <c r="M984" t="s">
        <v>30</v>
      </c>
      <c r="N984" t="s">
        <v>31</v>
      </c>
      <c r="O984" t="s">
        <v>813</v>
      </c>
      <c r="P984" t="str">
        <f>HYPERLINK("https://www.facebook.com/264234810584424")</f>
        <v>https://www.facebook.com/264234810584424</v>
      </c>
      <c r="Q984">
        <v>559985</v>
      </c>
      <c r="R984" t="s">
        <v>32</v>
      </c>
      <c r="S984" t="s">
        <v>188</v>
      </c>
      <c r="T984" t="s">
        <v>34</v>
      </c>
      <c r="U984" t="s">
        <v>478</v>
      </c>
      <c r="V984" t="s">
        <v>2788</v>
      </c>
    </row>
    <row r="985" spans="1:22" ht="16">
      <c r="A985" t="s">
        <v>2300</v>
      </c>
      <c r="B985" t="s">
        <v>2789</v>
      </c>
      <c r="C985" t="s">
        <v>80</v>
      </c>
      <c r="D985" t="s">
        <v>2790</v>
      </c>
      <c r="E985" t="s">
        <v>74</v>
      </c>
      <c r="F985" t="s">
        <v>3</v>
      </c>
      <c r="G985" t="str">
        <f>HYPERLINK("https://www.facebook.com/permalink.php?story_fbid=pfbid02rbt51TUb57HR4F6gBd5FwSTuyaUp3gHvM6gsAExHboTPbUq2FdNvTKt3sBpRB8pml&amp;id=100006975138432&amp;comment_id=1934896277234658")</f>
        <v>https://www.facebook.com/permalink.php?story_fbid=pfbid02rbt51TUb57HR4F6gBd5FwSTuyaUp3gHvM6gsAExHboTPbUq2FdNvTKt3sBpRB8pml&amp;id=100006975138432&amp;comment_id=1934896277234658</v>
      </c>
      <c r="H985" t="s">
        <v>28</v>
      </c>
      <c r="I985" t="s">
        <v>2791</v>
      </c>
      <c r="K985" t="str">
        <f>HYPERLINK("https://www.facebook.com/1423809361")</f>
        <v>https://www.facebook.com/1423809361</v>
      </c>
      <c r="M985" t="s">
        <v>40</v>
      </c>
      <c r="N985" t="s">
        <v>31</v>
      </c>
      <c r="O985" t="s">
        <v>1399</v>
      </c>
      <c r="P985" t="str">
        <f>HYPERLINK("https://www.facebook.com/100006975138432")</f>
        <v>https://www.facebook.com/100006975138432</v>
      </c>
      <c r="R985" t="s">
        <v>32</v>
      </c>
      <c r="S985" t="s">
        <v>85</v>
      </c>
      <c r="T985" t="s">
        <v>34</v>
      </c>
      <c r="U985" t="s">
        <v>58</v>
      </c>
      <c r="V985" t="s">
        <v>58</v>
      </c>
    </row>
    <row r="986" spans="1:22" ht="16">
      <c r="A986" t="s">
        <v>2300</v>
      </c>
      <c r="B986" t="s">
        <v>2789</v>
      </c>
      <c r="C986" t="s">
        <v>24</v>
      </c>
      <c r="D986" t="s">
        <v>2007</v>
      </c>
      <c r="E986" t="s">
        <v>45</v>
      </c>
      <c r="F986" t="s">
        <v>281</v>
      </c>
      <c r="G986" t="str">
        <f>HYPERLINK("https://twitter.com/Freya_od_ua/status/2027464033926848880")</f>
        <v>https://twitter.com/Freya_od_ua/status/2027464033926848880</v>
      </c>
      <c r="H986" t="s">
        <v>28</v>
      </c>
      <c r="I986" t="s">
        <v>2792</v>
      </c>
      <c r="J986" t="s">
        <v>2793</v>
      </c>
      <c r="K986" t="str">
        <f>HYPERLINK("http://twitter.com/Freya_od_ua")</f>
        <v>http://twitter.com/Freya_od_ua</v>
      </c>
      <c r="L986">
        <v>297</v>
      </c>
      <c r="N986" t="s">
        <v>278</v>
      </c>
      <c r="R986" t="s">
        <v>32</v>
      </c>
      <c r="S986" t="s">
        <v>33</v>
      </c>
      <c r="T986" t="s">
        <v>34</v>
      </c>
      <c r="U986" t="s">
        <v>384</v>
      </c>
      <c r="V986" t="s">
        <v>500</v>
      </c>
    </row>
    <row r="987" spans="1:20" ht="16">
      <c r="A987" t="s">
        <v>2300</v>
      </c>
      <c r="B987" t="s">
        <v>2789</v>
      </c>
      <c r="C987" t="s">
        <v>24</v>
      </c>
      <c r="D987" t="s">
        <v>2276</v>
      </c>
      <c r="E987" t="s">
        <v>45</v>
      </c>
      <c r="F987" t="s">
        <v>3</v>
      </c>
      <c r="G987" t="str">
        <f>HYPERLINK("https://twitter.com/Tetiana4alenko/status/2027464008396112376")</f>
        <v>https://twitter.com/Tetiana4alenko/status/2027464008396112376</v>
      </c>
      <c r="H987" t="s">
        <v>28</v>
      </c>
      <c r="I987" t="s">
        <v>2794</v>
      </c>
      <c r="J987" t="s">
        <v>2795</v>
      </c>
      <c r="K987" t="str">
        <f>HYPERLINK("http://twitter.com/Tetiana4alenko")</f>
        <v>http://twitter.com/Tetiana4alenko</v>
      </c>
      <c r="L987">
        <v>8</v>
      </c>
      <c r="N987" t="s">
        <v>278</v>
      </c>
      <c r="R987" t="s">
        <v>32</v>
      </c>
      <c r="S987" t="s">
        <v>33</v>
      </c>
      <c r="T987" t="s">
        <v>34</v>
      </c>
    </row>
    <row r="988" spans="1:22" ht="16">
      <c r="A988" t="s">
        <v>2300</v>
      </c>
      <c r="B988" t="s">
        <v>2796</v>
      </c>
      <c r="C988" t="s">
        <v>80</v>
      </c>
      <c r="D988" t="s">
        <v>2797</v>
      </c>
      <c r="E988" t="s">
        <v>74</v>
      </c>
      <c r="F988" t="s">
        <v>3</v>
      </c>
      <c r="G988" t="str">
        <f>HYPERLINK("https://www.facebook.com/permalink.php?story_fbid=pfbid02rbt51TUb57HR4F6gBd5FwSTuyaUp3gHvM6gsAExHboTPbUq2FdNvTKt3sBpRB8pml&amp;id=100006975138432&amp;comment_id=857079327377480")</f>
        <v>https://www.facebook.com/permalink.php?story_fbid=pfbid02rbt51TUb57HR4F6gBd5FwSTuyaUp3gHvM6gsAExHboTPbUq2FdNvTKt3sBpRB8pml&amp;id=100006975138432&amp;comment_id=857079327377480</v>
      </c>
      <c r="H988" t="s">
        <v>28</v>
      </c>
      <c r="I988" t="s">
        <v>2798</v>
      </c>
      <c r="K988" t="str">
        <f>HYPERLINK("https://www.facebook.com/100093521087731")</f>
        <v>https://www.facebook.com/100093521087731</v>
      </c>
      <c r="M988" t="s">
        <v>30</v>
      </c>
      <c r="N988" t="s">
        <v>31</v>
      </c>
      <c r="O988" t="s">
        <v>1399</v>
      </c>
      <c r="P988" t="str">
        <f>HYPERLINK("https://www.facebook.com/100006975138432")</f>
        <v>https://www.facebook.com/100006975138432</v>
      </c>
      <c r="R988" t="s">
        <v>32</v>
      </c>
      <c r="S988" t="s">
        <v>33</v>
      </c>
      <c r="T988" t="s">
        <v>34</v>
      </c>
      <c r="U988" t="s">
        <v>58</v>
      </c>
      <c r="V988" t="s">
        <v>58</v>
      </c>
    </row>
    <row r="989" spans="1:22" ht="16">
      <c r="A989" t="s">
        <v>2300</v>
      </c>
      <c r="B989" t="s">
        <v>2796</v>
      </c>
      <c r="C989" t="s">
        <v>80</v>
      </c>
      <c r="D989" t="s">
        <v>2799</v>
      </c>
      <c r="E989" t="s">
        <v>74</v>
      </c>
      <c r="F989" t="s">
        <v>3</v>
      </c>
      <c r="G989" t="str">
        <f>HYPERLINK("https://www.facebook.com/Yullita74/posts/pfbid02BZjihkK27iqC5RwM64mnjUDovVzxkgDhp5G4AQtRSsVRU4RyvTBpKYigtyDmfmQsl?comment_id=1232223341872286")</f>
        <v>https://www.facebook.com/Yullita74/posts/pfbid02BZjihkK27iqC5RwM64mnjUDovVzxkgDhp5G4AQtRSsVRU4RyvTBpKYigtyDmfmQsl?comment_id=1232223341872286</v>
      </c>
      <c r="H989" t="s">
        <v>28</v>
      </c>
      <c r="I989" t="s">
        <v>2800</v>
      </c>
      <c r="K989" t="str">
        <f>HYPERLINK("https://www.facebook.com/61577040135067")</f>
        <v>https://www.facebook.com/61577040135067</v>
      </c>
      <c r="M989" t="s">
        <v>30</v>
      </c>
      <c r="N989" t="s">
        <v>31</v>
      </c>
      <c r="O989" t="s">
        <v>2426</v>
      </c>
      <c r="P989" t="str">
        <f>HYPERLINK("https://www.facebook.com/100001450230363")</f>
        <v>https://www.facebook.com/100001450230363</v>
      </c>
      <c r="R989" t="s">
        <v>32</v>
      </c>
      <c r="S989" t="s">
        <v>85</v>
      </c>
      <c r="T989" t="s">
        <v>34</v>
      </c>
      <c r="U989" t="s">
        <v>235</v>
      </c>
      <c r="V989" t="s">
        <v>236</v>
      </c>
    </row>
    <row r="990" spans="1:22" ht="16">
      <c r="A990" t="s">
        <v>2300</v>
      </c>
      <c r="B990" t="s">
        <v>175</v>
      </c>
      <c r="C990" t="s">
        <v>768</v>
      </c>
      <c r="D990" t="s">
        <v>2801</v>
      </c>
      <c r="E990" t="s">
        <v>74</v>
      </c>
      <c r="F990" t="s">
        <v>3</v>
      </c>
      <c r="G990" t="str">
        <f>HYPERLINK("https://www.facebook.com/toyelviv/posts/pfbid02HyVHmdRrHaKvpJCV4k8sSATEQmB44tvrgpepSrJQ66Qs74jVAzPQ6qaz5ZMHUoNBl?comment_id=1271505034831521")</f>
        <v>https://www.facebook.com/toyelviv/posts/pfbid02HyVHmdRrHaKvpJCV4k8sSATEQmB44tvrgpepSrJQ66Qs74jVAzPQ6qaz5ZMHUoNBl?comment_id=1271505034831521</v>
      </c>
      <c r="H990" t="s">
        <v>28</v>
      </c>
      <c r="I990" t="s">
        <v>2802</v>
      </c>
      <c r="J990" t="s">
        <v>2803</v>
      </c>
      <c r="K990" t="str">
        <f>HYPERLINK("https://www.facebook.com/100012232511367")</f>
        <v>https://www.facebook.com/100012232511367</v>
      </c>
      <c r="M990" t="s">
        <v>30</v>
      </c>
      <c r="N990" t="s">
        <v>31</v>
      </c>
      <c r="O990" t="s">
        <v>1559</v>
      </c>
      <c r="P990" t="str">
        <f>HYPERLINK("https://www.facebook.com/320892981422193")</f>
        <v>https://www.facebook.com/320892981422193</v>
      </c>
      <c r="Q990">
        <v>293869</v>
      </c>
      <c r="R990" t="s">
        <v>32</v>
      </c>
      <c r="S990" t="s">
        <v>33</v>
      </c>
      <c r="T990" t="s">
        <v>86</v>
      </c>
      <c r="U990" t="s">
        <v>2804</v>
      </c>
      <c r="V990" t="s">
        <v>2805</v>
      </c>
    </row>
    <row r="991" spans="1:20" ht="16">
      <c r="A991" t="s">
        <v>2300</v>
      </c>
      <c r="B991" t="s">
        <v>175</v>
      </c>
      <c r="C991" t="s">
        <v>24</v>
      </c>
      <c r="D991" t="s">
        <v>2276</v>
      </c>
      <c r="E991" t="s">
        <v>45</v>
      </c>
      <c r="F991" t="s">
        <v>3</v>
      </c>
      <c r="G991" t="str">
        <f>HYPERLINK("https://twitter.com/RackovsSem79549/status/2027463452130738619")</f>
        <v>https://twitter.com/RackovsSem79549/status/2027463452130738619</v>
      </c>
      <c r="H991" t="s">
        <v>28</v>
      </c>
      <c r="I991" t="s">
        <v>2806</v>
      </c>
      <c r="J991" t="s">
        <v>2807</v>
      </c>
      <c r="K991" t="str">
        <f>HYPERLINK("http://twitter.com/RackovsSem79549")</f>
        <v>http://twitter.com/RackovsSem79549</v>
      </c>
      <c r="L991">
        <v>57</v>
      </c>
      <c r="M991" t="s">
        <v>40</v>
      </c>
      <c r="N991" t="s">
        <v>278</v>
      </c>
      <c r="R991" t="s">
        <v>32</v>
      </c>
      <c r="S991" t="s">
        <v>33</v>
      </c>
      <c r="T991" t="s">
        <v>34</v>
      </c>
    </row>
    <row r="992" spans="1:22" ht="16">
      <c r="A992" t="s">
        <v>2300</v>
      </c>
      <c r="B992" t="s">
        <v>175</v>
      </c>
      <c r="C992" t="s">
        <v>80</v>
      </c>
      <c r="D992" t="s">
        <v>2808</v>
      </c>
      <c r="E992" t="s">
        <v>74</v>
      </c>
      <c r="F992" t="s">
        <v>3</v>
      </c>
      <c r="G992" t="str">
        <f>HYPERLINK("https://www.facebook.com/permalink.php?story_fbid=pfbid02rbt51TUb57HR4F6gBd5FwSTuyaUp3gHvM6gsAExHboTPbUq2FdNvTKt3sBpRB8pml&amp;id=100006975138432&amp;comment_id=1246223403594207")</f>
        <v>https://www.facebook.com/permalink.php?story_fbid=pfbid02rbt51TUb57HR4F6gBd5FwSTuyaUp3gHvM6gsAExHboTPbUq2FdNvTKt3sBpRB8pml&amp;id=100006975138432&amp;comment_id=1246223403594207</v>
      </c>
      <c r="H992" t="s">
        <v>28</v>
      </c>
      <c r="I992" t="s">
        <v>2809</v>
      </c>
      <c r="K992" t="str">
        <f>HYPERLINK("https://www.facebook.com/100073126890223")</f>
        <v>https://www.facebook.com/100073126890223</v>
      </c>
      <c r="M992" t="s">
        <v>30</v>
      </c>
      <c r="N992" t="s">
        <v>31</v>
      </c>
      <c r="O992" t="s">
        <v>1399</v>
      </c>
      <c r="P992" t="str">
        <f>HYPERLINK("https://www.facebook.com/100006975138432")</f>
        <v>https://www.facebook.com/100006975138432</v>
      </c>
      <c r="R992" t="s">
        <v>32</v>
      </c>
      <c r="S992" t="s">
        <v>33</v>
      </c>
      <c r="T992" t="s">
        <v>34</v>
      </c>
      <c r="U992" t="s">
        <v>58</v>
      </c>
      <c r="V992" t="s">
        <v>58</v>
      </c>
    </row>
    <row r="993" spans="1:20" ht="16">
      <c r="A993" t="s">
        <v>2300</v>
      </c>
      <c r="B993" t="s">
        <v>2810</v>
      </c>
      <c r="C993" t="s">
        <v>80</v>
      </c>
      <c r="D993" t="s">
        <v>2811</v>
      </c>
      <c r="E993" t="s">
        <v>74</v>
      </c>
      <c r="F993" t="s">
        <v>3</v>
      </c>
      <c r="G993" t="str">
        <f>HYPERLINK("https://www.facebook.com/westukrnews/posts/pfbid05KpJzZfAmc7DG6HMNPojmy3FDtYQBjx33JCcksAdDUDGcWNSDnn66BSqDiowXeWol?comment_id=1871067416909899")</f>
        <v>https://www.facebook.com/westukrnews/posts/pfbid05KpJzZfAmc7DG6HMNPojmy3FDtYQBjx33JCcksAdDUDGcWNSDnn66BSqDiowXeWol?comment_id=1871067416909899</v>
      </c>
      <c r="H993" t="s">
        <v>28</v>
      </c>
      <c r="I993" t="s">
        <v>2812</v>
      </c>
      <c r="J993" t="s">
        <v>2813</v>
      </c>
      <c r="K993" t="str">
        <f>HYPERLINK("https://www.facebook.com/100025331420377")</f>
        <v>https://www.facebook.com/100025331420377</v>
      </c>
      <c r="M993" t="s">
        <v>40</v>
      </c>
      <c r="N993" t="s">
        <v>31</v>
      </c>
      <c r="O993" t="s">
        <v>813</v>
      </c>
      <c r="P993" t="str">
        <f>HYPERLINK("https://www.facebook.com/264234810584424")</f>
        <v>https://www.facebook.com/264234810584424</v>
      </c>
      <c r="Q993">
        <v>559985</v>
      </c>
      <c r="R993" t="s">
        <v>32</v>
      </c>
      <c r="S993" t="s">
        <v>85</v>
      </c>
      <c r="T993" t="s">
        <v>34</v>
      </c>
    </row>
    <row r="994" spans="1:20" ht="16">
      <c r="A994" t="s">
        <v>2300</v>
      </c>
      <c r="B994" t="s">
        <v>2810</v>
      </c>
      <c r="C994" t="s">
        <v>24</v>
      </c>
      <c r="D994" t="s">
        <v>2007</v>
      </c>
      <c r="E994" t="s">
        <v>45</v>
      </c>
      <c r="F994" t="s">
        <v>281</v>
      </c>
      <c r="G994" t="str">
        <f>HYPERLINK("https://twitter.com/Danilalooked/status/2027463223805432065")</f>
        <v>https://twitter.com/Danilalooked/status/2027463223805432065</v>
      </c>
      <c r="H994" t="s">
        <v>28</v>
      </c>
      <c r="I994" t="s">
        <v>2814</v>
      </c>
      <c r="J994" t="s">
        <v>2815</v>
      </c>
      <c r="K994" t="str">
        <f>HYPERLINK("http://twitter.com/Danilalooked")</f>
        <v>http://twitter.com/Danilalooked</v>
      </c>
      <c r="L994">
        <v>31</v>
      </c>
      <c r="N994" t="s">
        <v>278</v>
      </c>
      <c r="R994" t="s">
        <v>32</v>
      </c>
      <c r="S994" t="s">
        <v>33</v>
      </c>
      <c r="T994" t="s">
        <v>34</v>
      </c>
    </row>
    <row r="995" spans="1:22" ht="16">
      <c r="A995" t="s">
        <v>2300</v>
      </c>
      <c r="B995" t="s">
        <v>2816</v>
      </c>
      <c r="C995" t="s">
        <v>24</v>
      </c>
      <c r="D995" t="s">
        <v>2286</v>
      </c>
      <c r="E995" t="s">
        <v>26</v>
      </c>
      <c r="F995" t="s">
        <v>102</v>
      </c>
      <c r="G995" t="str">
        <f>HYPERLINK("https://www.facebook.com/816686221449330")</f>
        <v>https://www.facebook.com/816686221449330</v>
      </c>
      <c r="H995" t="s">
        <v>28</v>
      </c>
      <c r="I995" t="s">
        <v>2817</v>
      </c>
      <c r="K995" t="str">
        <f>HYPERLINK("https://www.facebook.com/100093238781326")</f>
        <v>https://www.facebook.com/100093238781326</v>
      </c>
      <c r="M995" t="s">
        <v>40</v>
      </c>
      <c r="N995" t="s">
        <v>31</v>
      </c>
      <c r="O995" t="s">
        <v>2817</v>
      </c>
      <c r="P995" t="str">
        <f>HYPERLINK("https://www.facebook.com/100093238781326")</f>
        <v>https://www.facebook.com/100093238781326</v>
      </c>
      <c r="R995" t="s">
        <v>32</v>
      </c>
      <c r="S995" t="s">
        <v>33</v>
      </c>
      <c r="T995" t="s">
        <v>34</v>
      </c>
      <c r="U995" t="s">
        <v>235</v>
      </c>
      <c r="V995" t="s">
        <v>1892</v>
      </c>
    </row>
    <row r="996" spans="1:22" ht="16">
      <c r="A996" t="s">
        <v>2300</v>
      </c>
      <c r="B996" t="s">
        <v>2816</v>
      </c>
      <c r="C996" t="s">
        <v>80</v>
      </c>
      <c r="D996" t="s">
        <v>2818</v>
      </c>
      <c r="E996" t="s">
        <v>74</v>
      </c>
      <c r="F996" t="s">
        <v>3</v>
      </c>
      <c r="G996" t="str">
        <f>HYPERLINK("https://www.facebook.com/westukrnews/posts/pfbid05KpJzZfAmc7DG6HMNPojmy3FDtYQBjx33JCcksAdDUDGcWNSDnn66BSqDiowXeWol?comment_id=884931477703092&amp;reply_comment_id=1644303326993260")</f>
        <v>https://www.facebook.com/westukrnews/posts/pfbid05KpJzZfAmc7DG6HMNPojmy3FDtYQBjx33JCcksAdDUDGcWNSDnn66BSqDiowXeWol?comment_id=884931477703092&amp;reply_comment_id=1644303326993260</v>
      </c>
      <c r="H996" t="s">
        <v>28</v>
      </c>
      <c r="I996" t="s">
        <v>2819</v>
      </c>
      <c r="K996" t="str">
        <f>HYPERLINK("https://www.facebook.com/100051128839843")</f>
        <v>https://www.facebook.com/100051128839843</v>
      </c>
      <c r="M996" t="s">
        <v>40</v>
      </c>
      <c r="N996" t="s">
        <v>31</v>
      </c>
      <c r="O996" t="s">
        <v>813</v>
      </c>
      <c r="P996" t="str">
        <f>HYPERLINK("https://www.facebook.com/264234810584424")</f>
        <v>https://www.facebook.com/264234810584424</v>
      </c>
      <c r="Q996">
        <v>559985</v>
      </c>
      <c r="R996" t="s">
        <v>32</v>
      </c>
      <c r="S996" t="s">
        <v>85</v>
      </c>
      <c r="T996" t="s">
        <v>34</v>
      </c>
      <c r="U996" t="s">
        <v>598</v>
      </c>
      <c r="V996" t="s">
        <v>2820</v>
      </c>
    </row>
    <row r="997" spans="1:20" ht="16">
      <c r="A997" t="s">
        <v>2300</v>
      </c>
      <c r="B997" t="s">
        <v>1098</v>
      </c>
      <c r="C997" t="s">
        <v>24</v>
      </c>
      <c r="D997" t="s">
        <v>2276</v>
      </c>
      <c r="E997" t="s">
        <v>45</v>
      </c>
      <c r="F997" t="s">
        <v>3</v>
      </c>
      <c r="G997" t="str">
        <f>HYPERLINK("https://twitter.com/MykolaN129542/status/2027462662255255835")</f>
        <v>https://twitter.com/MykolaN129542/status/2027462662255255835</v>
      </c>
      <c r="H997" t="s">
        <v>28</v>
      </c>
      <c r="I997" t="s">
        <v>2821</v>
      </c>
      <c r="J997" t="s">
        <v>2822</v>
      </c>
      <c r="K997" t="str">
        <f>HYPERLINK("http://twitter.com/MykolaN129542")</f>
        <v>http://twitter.com/MykolaN129542</v>
      </c>
      <c r="L997">
        <v>7</v>
      </c>
      <c r="M997" t="s">
        <v>40</v>
      </c>
      <c r="N997" t="s">
        <v>278</v>
      </c>
      <c r="R997" t="s">
        <v>32</v>
      </c>
      <c r="S997" t="s">
        <v>33</v>
      </c>
      <c r="T997" t="s">
        <v>34</v>
      </c>
    </row>
    <row r="998" spans="1:20" ht="16">
      <c r="A998" t="s">
        <v>2300</v>
      </c>
      <c r="B998" t="s">
        <v>2823</v>
      </c>
      <c r="C998" t="s">
        <v>2824</v>
      </c>
      <c r="D998" t="s">
        <v>2825</v>
      </c>
      <c r="E998" t="s">
        <v>26</v>
      </c>
      <c r="F998" t="s">
        <v>342</v>
      </c>
      <c r="G998" t="str">
        <f>HYPERLINK("https://antikor.info/articles/823341-villa_v_majami_za_2_milliona_dollarov_dochj_mera_ternopolja_sergeja_nadala_obosnovalasj_v_elitnom_rajone_sa_vo_vremja_vojny")</f>
        <v>https://antikor.info/articles/823341-villa_v_majami_za_2_milliona_dollarov_dochj_mera_ternopolja_sergeja_nadala_obosnovalasj_v_elitnom_rajone_sa_vo_vremja_vojny</v>
      </c>
      <c r="H998" t="s">
        <v>28</v>
      </c>
      <c r="N998" t="s">
        <v>2826</v>
      </c>
      <c r="O998" t="s">
        <v>2827</v>
      </c>
      <c r="P998" t="str">
        <f>HYPERLINK("https://antikor.info/organization/2041937436")</f>
        <v>https://antikor.info/organization/2041937436</v>
      </c>
      <c r="R998" t="s">
        <v>1170</v>
      </c>
      <c r="S998" t="s">
        <v>33</v>
      </c>
      <c r="T998" t="s">
        <v>34</v>
      </c>
    </row>
    <row r="999" spans="1:22" ht="16">
      <c r="A999" t="s">
        <v>2300</v>
      </c>
      <c r="B999" t="s">
        <v>2828</v>
      </c>
      <c r="C999" t="s">
        <v>80</v>
      </c>
      <c r="D999" t="s">
        <v>2829</v>
      </c>
      <c r="E999" t="s">
        <v>74</v>
      </c>
      <c r="F999" t="s">
        <v>3</v>
      </c>
      <c r="G999" t="str">
        <f>HYPERLINK("https://www.facebook.com/westukrnews/posts/pfbid05KpJzZfAmc7DG6HMNPojmy3FDtYQBjx33JCcksAdDUDGcWNSDnn66BSqDiowXeWol?comment_id=1841283519913945")</f>
        <v>https://www.facebook.com/westukrnews/posts/pfbid05KpJzZfAmc7DG6HMNPojmy3FDtYQBjx33JCcksAdDUDGcWNSDnn66BSqDiowXeWol?comment_id=1841283519913945</v>
      </c>
      <c r="H999" t="s">
        <v>28</v>
      </c>
      <c r="I999" t="s">
        <v>2819</v>
      </c>
      <c r="K999" t="str">
        <f>HYPERLINK("https://www.facebook.com/100051128839843")</f>
        <v>https://www.facebook.com/100051128839843</v>
      </c>
      <c r="M999" t="s">
        <v>40</v>
      </c>
      <c r="N999" t="s">
        <v>31</v>
      </c>
      <c r="O999" t="s">
        <v>813</v>
      </c>
      <c r="P999" t="str">
        <f>HYPERLINK("https://www.facebook.com/264234810584424")</f>
        <v>https://www.facebook.com/264234810584424</v>
      </c>
      <c r="Q999">
        <v>559985</v>
      </c>
      <c r="R999" t="s">
        <v>32</v>
      </c>
      <c r="S999" t="s">
        <v>33</v>
      </c>
      <c r="T999" t="s">
        <v>34</v>
      </c>
      <c r="U999" t="s">
        <v>598</v>
      </c>
      <c r="V999" t="s">
        <v>2820</v>
      </c>
    </row>
    <row r="1000" spans="1:22" ht="16">
      <c r="A1000" t="s">
        <v>2300</v>
      </c>
      <c r="B1000" t="s">
        <v>2830</v>
      </c>
      <c r="C1000" t="s">
        <v>768</v>
      </c>
      <c r="D1000" t="s">
        <v>2831</v>
      </c>
      <c r="E1000" t="s">
        <v>74</v>
      </c>
      <c r="F1000" t="s">
        <v>3</v>
      </c>
      <c r="G1000" t="str">
        <f>HYPERLINK("https://www.facebook.com/toyelviv/posts/pfbid02HyVHmdRrHaKvpJCV4k8sSATEQmB44tvrgpepSrJQ66Qs74jVAzPQ6qaz5ZMHUoNBl?comment_id=2616275945421854")</f>
        <v>https://www.facebook.com/toyelviv/posts/pfbid02HyVHmdRrHaKvpJCV4k8sSATEQmB44tvrgpepSrJQ66Qs74jVAzPQ6qaz5ZMHUoNBl?comment_id=2616275945421854</v>
      </c>
      <c r="H1000" t="s">
        <v>28</v>
      </c>
      <c r="I1000" t="s">
        <v>2832</v>
      </c>
      <c r="K1000" t="str">
        <f>HYPERLINK("https://www.facebook.com/100009112411584")</f>
        <v>https://www.facebook.com/100009112411584</v>
      </c>
      <c r="M1000" t="s">
        <v>30</v>
      </c>
      <c r="N1000" t="s">
        <v>31</v>
      </c>
      <c r="O1000" t="s">
        <v>1559</v>
      </c>
      <c r="P1000" t="str">
        <f>HYPERLINK("https://www.facebook.com/320892981422193")</f>
        <v>https://www.facebook.com/320892981422193</v>
      </c>
      <c r="Q1000">
        <v>293869</v>
      </c>
      <c r="R1000" t="s">
        <v>32</v>
      </c>
      <c r="S1000" t="s">
        <v>33</v>
      </c>
      <c r="T1000" t="s">
        <v>34</v>
      </c>
      <c r="U1000" t="s">
        <v>41</v>
      </c>
      <c r="V1000" t="s">
        <v>2833</v>
      </c>
    </row>
    <row r="1001" spans="1:22" ht="16">
      <c r="A1001" t="s">
        <v>2300</v>
      </c>
      <c r="B1001" t="s">
        <v>2834</v>
      </c>
      <c r="C1001" t="s">
        <v>768</v>
      </c>
      <c r="D1001" t="s">
        <v>2835</v>
      </c>
      <c r="E1001" t="s">
        <v>74</v>
      </c>
      <c r="F1001" t="s">
        <v>3</v>
      </c>
      <c r="G1001" t="str">
        <f>HYPERLINK("https://www.facebook.com/toyelviv/posts/pfbid02HyVHmdRrHaKvpJCV4k8sSATEQmB44tvrgpepSrJQ66Qs74jVAzPQ6qaz5ZMHUoNBl?comment_id=2031177600763520&amp;reply_comment_id=1633648910975399")</f>
        <v>https://www.facebook.com/toyelviv/posts/pfbid02HyVHmdRrHaKvpJCV4k8sSATEQmB44tvrgpepSrJQ66Qs74jVAzPQ6qaz5ZMHUoNBl?comment_id=2031177600763520&amp;reply_comment_id=1633648910975399</v>
      </c>
      <c r="H1001" t="s">
        <v>28</v>
      </c>
      <c r="I1001" t="s">
        <v>2836</v>
      </c>
      <c r="K1001" t="str">
        <f>HYPERLINK("https://www.facebook.com/100030906970275")</f>
        <v>https://www.facebook.com/100030906970275</v>
      </c>
      <c r="M1001" t="s">
        <v>40</v>
      </c>
      <c r="N1001" t="s">
        <v>31</v>
      </c>
      <c r="O1001" t="s">
        <v>1559</v>
      </c>
      <c r="P1001" t="str">
        <f>HYPERLINK("https://www.facebook.com/320892981422193")</f>
        <v>https://www.facebook.com/320892981422193</v>
      </c>
      <c r="Q1001">
        <v>293869</v>
      </c>
      <c r="R1001" t="s">
        <v>32</v>
      </c>
      <c r="S1001" t="s">
        <v>85</v>
      </c>
      <c r="T1001" t="s">
        <v>34</v>
      </c>
      <c r="U1001" t="s">
        <v>158</v>
      </c>
      <c r="V1001" t="s">
        <v>159</v>
      </c>
    </row>
    <row r="1002" spans="1:22" ht="16">
      <c r="A1002" t="s">
        <v>2300</v>
      </c>
      <c r="B1002" t="s">
        <v>2837</v>
      </c>
      <c r="C1002" t="s">
        <v>80</v>
      </c>
      <c r="D1002" t="s">
        <v>2838</v>
      </c>
      <c r="E1002" t="s">
        <v>74</v>
      </c>
      <c r="F1002" t="s">
        <v>3</v>
      </c>
      <c r="G1002" t="str">
        <f>HYPERLINK("https://www.facebook.com/permalink.php?story_fbid=pfbid02rbt51TUb57HR4F6gBd5FwSTuyaUp3gHvM6gsAExHboTPbUq2FdNvTKt3sBpRB8pml&amp;id=100006975138432&amp;comment_id=1875937603113123")</f>
        <v>https://www.facebook.com/permalink.php?story_fbid=pfbid02rbt51TUb57HR4F6gBd5FwSTuyaUp3gHvM6gsAExHboTPbUq2FdNvTKt3sBpRB8pml&amp;id=100006975138432&amp;comment_id=1875937603113123</v>
      </c>
      <c r="H1002" t="s">
        <v>28</v>
      </c>
      <c r="I1002" t="s">
        <v>2839</v>
      </c>
      <c r="K1002" t="str">
        <f>HYPERLINK("https://www.facebook.com/100062698613191")</f>
        <v>https://www.facebook.com/100062698613191</v>
      </c>
      <c r="M1002" t="s">
        <v>30</v>
      </c>
      <c r="N1002" t="s">
        <v>31</v>
      </c>
      <c r="O1002" t="s">
        <v>1399</v>
      </c>
      <c r="P1002" t="str">
        <f>HYPERLINK("https://www.facebook.com/100006975138432")</f>
        <v>https://www.facebook.com/100006975138432</v>
      </c>
      <c r="R1002" t="s">
        <v>32</v>
      </c>
      <c r="S1002" t="s">
        <v>85</v>
      </c>
      <c r="T1002" t="s">
        <v>34</v>
      </c>
      <c r="U1002" t="s">
        <v>58</v>
      </c>
      <c r="V1002" t="s">
        <v>58</v>
      </c>
    </row>
    <row r="1003" spans="1:20" ht="16">
      <c r="A1003" t="s">
        <v>2300</v>
      </c>
      <c r="B1003" t="s">
        <v>2837</v>
      </c>
      <c r="C1003" t="s">
        <v>24</v>
      </c>
      <c r="D1003" t="s">
        <v>2007</v>
      </c>
      <c r="E1003" t="s">
        <v>45</v>
      </c>
      <c r="F1003" t="s">
        <v>281</v>
      </c>
      <c r="G1003" t="str">
        <f>HYPERLINK("https://twitter.com/GreyZosya/status/2027461361928720811")</f>
        <v>https://twitter.com/GreyZosya/status/2027461361928720811</v>
      </c>
      <c r="H1003" t="s">
        <v>28</v>
      </c>
      <c r="I1003" t="s">
        <v>2840</v>
      </c>
      <c r="J1003" t="s">
        <v>2841</v>
      </c>
      <c r="K1003" t="str">
        <f>HYPERLINK("http://twitter.com/GreyZosya")</f>
        <v>http://twitter.com/GreyZosya</v>
      </c>
      <c r="L1003">
        <v>47</v>
      </c>
      <c r="M1003" t="s">
        <v>30</v>
      </c>
      <c r="N1003" t="s">
        <v>278</v>
      </c>
      <c r="R1003" t="s">
        <v>32</v>
      </c>
      <c r="S1003" t="s">
        <v>33</v>
      </c>
      <c r="T1003" t="s">
        <v>86</v>
      </c>
    </row>
    <row r="1004" spans="1:22" ht="16">
      <c r="A1004" t="s">
        <v>2300</v>
      </c>
      <c r="B1004" t="s">
        <v>2837</v>
      </c>
      <c r="C1004" t="s">
        <v>768</v>
      </c>
      <c r="D1004" t="s">
        <v>2842</v>
      </c>
      <c r="E1004" t="s">
        <v>74</v>
      </c>
      <c r="F1004" t="s">
        <v>3</v>
      </c>
      <c r="G1004" t="str">
        <f>HYPERLINK("https://www.facebook.com/toyelviv/posts/pfbid02HyVHmdRrHaKvpJCV4k8sSATEQmB44tvrgpepSrJQ66Qs74jVAzPQ6qaz5ZMHUoNBl?comment_id=26217765564524312")</f>
        <v>https://www.facebook.com/toyelviv/posts/pfbid02HyVHmdRrHaKvpJCV4k8sSATEQmB44tvrgpepSrJQ66Qs74jVAzPQ6qaz5ZMHUoNBl?comment_id=26217765564524312</v>
      </c>
      <c r="H1004" t="s">
        <v>28</v>
      </c>
      <c r="I1004" t="s">
        <v>2843</v>
      </c>
      <c r="K1004" t="str">
        <f>HYPERLINK("https://www.facebook.com/100026140892267")</f>
        <v>https://www.facebook.com/100026140892267</v>
      </c>
      <c r="M1004" t="s">
        <v>30</v>
      </c>
      <c r="N1004" t="s">
        <v>31</v>
      </c>
      <c r="O1004" t="s">
        <v>1559</v>
      </c>
      <c r="P1004" t="str">
        <f>HYPERLINK("https://www.facebook.com/320892981422193")</f>
        <v>https://www.facebook.com/320892981422193</v>
      </c>
      <c r="Q1004">
        <v>293869</v>
      </c>
      <c r="R1004" t="s">
        <v>32</v>
      </c>
      <c r="S1004" t="s">
        <v>33</v>
      </c>
      <c r="T1004" t="s">
        <v>34</v>
      </c>
      <c r="U1004" t="s">
        <v>41</v>
      </c>
      <c r="V1004" t="s">
        <v>42</v>
      </c>
    </row>
    <row r="1005" spans="1:20" ht="16">
      <c r="A1005" t="s">
        <v>2300</v>
      </c>
      <c r="B1005" t="s">
        <v>2837</v>
      </c>
      <c r="C1005" t="s">
        <v>24</v>
      </c>
      <c r="D1005" t="s">
        <v>2276</v>
      </c>
      <c r="E1005" t="s">
        <v>45</v>
      </c>
      <c r="F1005" t="s">
        <v>3</v>
      </c>
      <c r="G1005" t="str">
        <f>HYPERLINK("https://twitter.com/gembel151457/status/2027461261990969353")</f>
        <v>https://twitter.com/gembel151457/status/2027461261990969353</v>
      </c>
      <c r="H1005" t="s">
        <v>28</v>
      </c>
      <c r="I1005" t="s">
        <v>2844</v>
      </c>
      <c r="J1005" t="s">
        <v>2845</v>
      </c>
      <c r="K1005" t="str">
        <f>HYPERLINK("http://twitter.com/gembel151457")</f>
        <v>http://twitter.com/gembel151457</v>
      </c>
      <c r="L1005">
        <v>23</v>
      </c>
      <c r="N1005" t="s">
        <v>278</v>
      </c>
      <c r="R1005" t="s">
        <v>32</v>
      </c>
      <c r="S1005" t="s">
        <v>33</v>
      </c>
      <c r="T1005" t="s">
        <v>34</v>
      </c>
    </row>
    <row r="1006" spans="1:22" ht="16">
      <c r="A1006" t="s">
        <v>2300</v>
      </c>
      <c r="B1006" t="s">
        <v>2837</v>
      </c>
      <c r="C1006" t="s">
        <v>80</v>
      </c>
      <c r="D1006" t="s">
        <v>2846</v>
      </c>
      <c r="E1006" t="s">
        <v>74</v>
      </c>
      <c r="F1006" t="s">
        <v>3</v>
      </c>
      <c r="G1006" t="str">
        <f>HYPERLINK("https://www.facebook.com/permalink.php?story_fbid=pfbid02rbt51TUb57HR4F6gBd5FwSTuyaUp3gHvM6gsAExHboTPbUq2FdNvTKt3sBpRB8pml&amp;id=100006975138432&amp;comment_id=804212875355082")</f>
        <v>https://www.facebook.com/permalink.php?story_fbid=pfbid02rbt51TUb57HR4F6gBd5FwSTuyaUp3gHvM6gsAExHboTPbUq2FdNvTKt3sBpRB8pml&amp;id=100006975138432&amp;comment_id=804212875355082</v>
      </c>
      <c r="H1006" t="s">
        <v>28</v>
      </c>
      <c r="I1006" t="s">
        <v>2847</v>
      </c>
      <c r="K1006" t="str">
        <f>HYPERLINK("https://www.facebook.com/100010637651905")</f>
        <v>https://www.facebook.com/100010637651905</v>
      </c>
      <c r="M1006" t="s">
        <v>40</v>
      </c>
      <c r="N1006" t="s">
        <v>31</v>
      </c>
      <c r="O1006" t="s">
        <v>1399</v>
      </c>
      <c r="P1006" t="str">
        <f>HYPERLINK("https://www.facebook.com/100006975138432")</f>
        <v>https://www.facebook.com/100006975138432</v>
      </c>
      <c r="R1006" t="s">
        <v>32</v>
      </c>
      <c r="S1006" t="s">
        <v>33</v>
      </c>
      <c r="T1006" t="s">
        <v>34</v>
      </c>
      <c r="U1006" t="s">
        <v>58</v>
      </c>
      <c r="V1006" t="s">
        <v>58</v>
      </c>
    </row>
    <row r="1007" spans="1:22" ht="16">
      <c r="A1007" t="s">
        <v>2300</v>
      </c>
      <c r="B1007" t="s">
        <v>2848</v>
      </c>
      <c r="C1007" t="s">
        <v>768</v>
      </c>
      <c r="D1007" t="s">
        <v>2849</v>
      </c>
      <c r="E1007" t="s">
        <v>74</v>
      </c>
      <c r="F1007" t="s">
        <v>3</v>
      </c>
      <c r="G1007" t="str">
        <f>HYPERLINK("https://www.facebook.com/toyelviv/posts/pfbid02HyVHmdRrHaKvpJCV4k8sSATEQmB44tvrgpepSrJQ66Qs74jVAzPQ6qaz5ZMHUoNBl?comment_id=4381606192108793")</f>
        <v>https://www.facebook.com/toyelviv/posts/pfbid02HyVHmdRrHaKvpJCV4k8sSATEQmB44tvrgpepSrJQ66Qs74jVAzPQ6qaz5ZMHUoNBl?comment_id=4381606192108793</v>
      </c>
      <c r="H1007" t="s">
        <v>28</v>
      </c>
      <c r="I1007" t="s">
        <v>2850</v>
      </c>
      <c r="J1007" t="s">
        <v>2851</v>
      </c>
      <c r="K1007" t="str">
        <f>HYPERLINK("https://www.facebook.com/100013547027196")</f>
        <v>https://www.facebook.com/100013547027196</v>
      </c>
      <c r="M1007" t="s">
        <v>30</v>
      </c>
      <c r="N1007" t="s">
        <v>31</v>
      </c>
      <c r="O1007" t="s">
        <v>1559</v>
      </c>
      <c r="P1007" t="str">
        <f>HYPERLINK("https://www.facebook.com/320892981422193")</f>
        <v>https://www.facebook.com/320892981422193</v>
      </c>
      <c r="Q1007">
        <v>293869</v>
      </c>
      <c r="R1007" t="s">
        <v>32</v>
      </c>
      <c r="S1007" t="s">
        <v>33</v>
      </c>
      <c r="T1007" t="s">
        <v>34</v>
      </c>
      <c r="U1007" t="s">
        <v>41</v>
      </c>
      <c r="V1007" t="s">
        <v>42</v>
      </c>
    </row>
    <row r="1008" spans="1:19" ht="16">
      <c r="A1008" t="s">
        <v>2300</v>
      </c>
      <c r="B1008" t="s">
        <v>2848</v>
      </c>
      <c r="C1008" t="s">
        <v>24</v>
      </c>
      <c r="D1008" t="s">
        <v>49</v>
      </c>
      <c r="E1008" t="s">
        <v>26</v>
      </c>
      <c r="F1008" t="s">
        <v>342</v>
      </c>
      <c r="G1008" t="str">
        <f>HYPERLINK("https://telegram.me/warbreakingnews/17394")</f>
        <v>https://telegram.me/warbreakingnews/17394</v>
      </c>
      <c r="H1008" t="s">
        <v>28</v>
      </c>
      <c r="I1008" t="s">
        <v>2852</v>
      </c>
      <c r="J1008" t="s">
        <v>2853</v>
      </c>
      <c r="K1008" t="str">
        <f>HYPERLINK("https://telegram.me/warbreakingnews")</f>
        <v>https://telegram.me/warbreakingnews</v>
      </c>
      <c r="L1008">
        <v>112</v>
      </c>
      <c r="M1008" t="s">
        <v>345</v>
      </c>
      <c r="N1008" t="s">
        <v>346</v>
      </c>
      <c r="O1008" t="s">
        <v>2852</v>
      </c>
      <c r="P1008" t="str">
        <f>HYPERLINK("https://telegram.me/warbreakingnews")</f>
        <v>https://telegram.me/warbreakingnews</v>
      </c>
      <c r="Q1008">
        <v>112</v>
      </c>
      <c r="R1008" t="s">
        <v>347</v>
      </c>
      <c r="S1008" t="s">
        <v>33</v>
      </c>
    </row>
    <row r="1009" spans="1:22" ht="16">
      <c r="A1009" t="s">
        <v>2300</v>
      </c>
      <c r="B1009" t="s">
        <v>2848</v>
      </c>
      <c r="C1009" t="s">
        <v>80</v>
      </c>
      <c r="D1009" t="s">
        <v>2854</v>
      </c>
      <c r="E1009" t="s">
        <v>74</v>
      </c>
      <c r="F1009" t="s">
        <v>3</v>
      </c>
      <c r="G1009" t="str">
        <f>HYPERLINK("https://www.facebook.com/permalink.php?story_fbid=pfbid02rbt51TUb57HR4F6gBd5FwSTuyaUp3gHvM6gsAExHboTPbUq2FdNvTKt3sBpRB8pml&amp;id=100006975138432&amp;comment_id=3267142283446072")</f>
        <v>https://www.facebook.com/permalink.php?story_fbid=pfbid02rbt51TUb57HR4F6gBd5FwSTuyaUp3gHvM6gsAExHboTPbUq2FdNvTKt3sBpRB8pml&amp;id=100006975138432&amp;comment_id=3267142283446072</v>
      </c>
      <c r="H1009" t="s">
        <v>28</v>
      </c>
      <c r="I1009" t="s">
        <v>2855</v>
      </c>
      <c r="K1009" t="str">
        <f>HYPERLINK("https://www.facebook.com/100006835969140")</f>
        <v>https://www.facebook.com/100006835969140</v>
      </c>
      <c r="M1009" t="s">
        <v>40</v>
      </c>
      <c r="N1009" t="s">
        <v>31</v>
      </c>
      <c r="O1009" t="s">
        <v>1399</v>
      </c>
      <c r="P1009" t="str">
        <f>HYPERLINK("https://www.facebook.com/100006975138432")</f>
        <v>https://www.facebook.com/100006975138432</v>
      </c>
      <c r="R1009" t="s">
        <v>32</v>
      </c>
      <c r="S1009" t="s">
        <v>33</v>
      </c>
      <c r="T1009" t="s">
        <v>34</v>
      </c>
      <c r="U1009" t="s">
        <v>487</v>
      </c>
      <c r="V1009" t="s">
        <v>2856</v>
      </c>
    </row>
    <row r="1010" spans="1:22" ht="16">
      <c r="A1010" t="s">
        <v>2300</v>
      </c>
      <c r="B1010" t="s">
        <v>2857</v>
      </c>
      <c r="C1010" t="s">
        <v>24</v>
      </c>
      <c r="D1010" t="s">
        <v>254</v>
      </c>
      <c r="E1010" t="s">
        <v>45</v>
      </c>
      <c r="F1010" t="s">
        <v>46</v>
      </c>
      <c r="G1010" t="str">
        <f>HYPERLINK("https://www.facebook.com/26039140915746752")</f>
        <v>https://www.facebook.com/26039140915746752</v>
      </c>
      <c r="H1010" t="s">
        <v>28</v>
      </c>
      <c r="I1010" t="s">
        <v>1082</v>
      </c>
      <c r="J1010" t="s">
        <v>1083</v>
      </c>
      <c r="K1010" t="str">
        <f>HYPERLINK("https://www.facebook.com/100002325962358")</f>
        <v>https://www.facebook.com/100002325962358</v>
      </c>
      <c r="M1010" t="s">
        <v>30</v>
      </c>
      <c r="N1010" t="s">
        <v>31</v>
      </c>
      <c r="O1010" t="s">
        <v>1082</v>
      </c>
      <c r="P1010" t="str">
        <f>HYPERLINK("https://www.facebook.com/100002325962358")</f>
        <v>https://www.facebook.com/100002325962358</v>
      </c>
      <c r="R1010" t="s">
        <v>32</v>
      </c>
      <c r="S1010" t="s">
        <v>33</v>
      </c>
      <c r="T1010" t="s">
        <v>34</v>
      </c>
      <c r="U1010" t="s">
        <v>41</v>
      </c>
      <c r="V1010" t="s">
        <v>42</v>
      </c>
    </row>
    <row r="1011" spans="1:22" ht="16">
      <c r="A1011" t="s">
        <v>2300</v>
      </c>
      <c r="B1011" t="s">
        <v>2857</v>
      </c>
      <c r="C1011" t="s">
        <v>80</v>
      </c>
      <c r="D1011" t="s">
        <v>2858</v>
      </c>
      <c r="E1011" t="s">
        <v>74</v>
      </c>
      <c r="F1011" t="s">
        <v>3</v>
      </c>
      <c r="G1011" t="str">
        <f>HYPERLINK("https://www.facebook.com/westukrnews/posts/pfbid05KpJzZfAmc7DG6HMNPojmy3FDtYQBjx33JCcksAdDUDGcWNSDnn66BSqDiowXeWol?comment_id=955937743531264")</f>
        <v>https://www.facebook.com/westukrnews/posts/pfbid05KpJzZfAmc7DG6HMNPojmy3FDtYQBjx33JCcksAdDUDGcWNSDnn66BSqDiowXeWol?comment_id=955937743531264</v>
      </c>
      <c r="H1011" t="s">
        <v>28</v>
      </c>
      <c r="I1011" t="s">
        <v>2859</v>
      </c>
      <c r="K1011" t="str">
        <f>HYPERLINK("https://www.facebook.com/100010360538161")</f>
        <v>https://www.facebook.com/100010360538161</v>
      </c>
      <c r="M1011" t="s">
        <v>30</v>
      </c>
      <c r="N1011" t="s">
        <v>31</v>
      </c>
      <c r="O1011" t="s">
        <v>813</v>
      </c>
      <c r="P1011" t="str">
        <f>HYPERLINK("https://www.facebook.com/264234810584424")</f>
        <v>https://www.facebook.com/264234810584424</v>
      </c>
      <c r="Q1011">
        <v>559985</v>
      </c>
      <c r="R1011" t="s">
        <v>32</v>
      </c>
      <c r="S1011" t="s">
        <v>85</v>
      </c>
      <c r="T1011" t="s">
        <v>34</v>
      </c>
      <c r="U1011" t="s">
        <v>384</v>
      </c>
      <c r="V1011" t="s">
        <v>781</v>
      </c>
    </row>
    <row r="1012" spans="1:22" ht="16">
      <c r="A1012" t="s">
        <v>2300</v>
      </c>
      <c r="B1012" t="s">
        <v>2857</v>
      </c>
      <c r="C1012" t="s">
        <v>24</v>
      </c>
      <c r="D1012" t="s">
        <v>2007</v>
      </c>
      <c r="E1012" t="s">
        <v>45</v>
      </c>
      <c r="F1012" t="s">
        <v>281</v>
      </c>
      <c r="G1012" t="str">
        <f>HYPERLINK("https://twitter.com/natashainteres/status/2027460899993247954")</f>
        <v>https://twitter.com/natashainteres/status/2027460899993247954</v>
      </c>
      <c r="H1012" t="s">
        <v>28</v>
      </c>
      <c r="I1012" t="s">
        <v>2860</v>
      </c>
      <c r="J1012" t="s">
        <v>2861</v>
      </c>
      <c r="K1012" t="str">
        <f>HYPERLINK("http://twitter.com/natashainteres")</f>
        <v>http://twitter.com/natashainteres</v>
      </c>
      <c r="L1012">
        <v>938</v>
      </c>
      <c r="M1012" t="s">
        <v>30</v>
      </c>
      <c r="N1012" t="s">
        <v>278</v>
      </c>
      <c r="R1012" t="s">
        <v>32</v>
      </c>
      <c r="S1012" t="s">
        <v>33</v>
      </c>
      <c r="T1012" t="s">
        <v>34</v>
      </c>
      <c r="U1012" t="s">
        <v>2155</v>
      </c>
      <c r="V1012" t="s">
        <v>2862</v>
      </c>
    </row>
    <row r="1013" spans="1:22" ht="16">
      <c r="A1013" t="s">
        <v>2300</v>
      </c>
      <c r="B1013" t="s">
        <v>2857</v>
      </c>
      <c r="C1013" t="s">
        <v>768</v>
      </c>
      <c r="D1013" t="s">
        <v>2863</v>
      </c>
      <c r="E1013" t="s">
        <v>74</v>
      </c>
      <c r="F1013" t="s">
        <v>3</v>
      </c>
      <c r="G1013" t="str">
        <f>HYPERLINK("https://www.facebook.com/toyelviv/posts/pfbid02HyVHmdRrHaKvpJCV4k8sSATEQmB44tvrgpepSrJQ66Qs74jVAzPQ6qaz5ZMHUoNBl?comment_id=4998523850374014")</f>
        <v>https://www.facebook.com/toyelviv/posts/pfbid02HyVHmdRrHaKvpJCV4k8sSATEQmB44tvrgpepSrJQ66Qs74jVAzPQ6qaz5ZMHUoNBl?comment_id=4998523850374014</v>
      </c>
      <c r="H1013" t="s">
        <v>28</v>
      </c>
      <c r="I1013" t="s">
        <v>2864</v>
      </c>
      <c r="K1013" t="str">
        <f>HYPERLINK("https://www.facebook.com/100021854133425")</f>
        <v>https://www.facebook.com/100021854133425</v>
      </c>
      <c r="M1013" t="s">
        <v>40</v>
      </c>
      <c r="N1013" t="s">
        <v>31</v>
      </c>
      <c r="O1013" t="s">
        <v>1559</v>
      </c>
      <c r="P1013" t="str">
        <f>HYPERLINK("https://www.facebook.com/320892981422193")</f>
        <v>https://www.facebook.com/320892981422193</v>
      </c>
      <c r="Q1013">
        <v>293869</v>
      </c>
      <c r="R1013" t="s">
        <v>32</v>
      </c>
      <c r="S1013" t="s">
        <v>33</v>
      </c>
      <c r="T1013" t="s">
        <v>34</v>
      </c>
      <c r="U1013" t="s">
        <v>41</v>
      </c>
      <c r="V1013" t="s">
        <v>42</v>
      </c>
    </row>
    <row r="1014" spans="1:22" ht="16">
      <c r="A1014" t="s">
        <v>2300</v>
      </c>
      <c r="B1014" t="s">
        <v>2865</v>
      </c>
      <c r="C1014" t="s">
        <v>80</v>
      </c>
      <c r="D1014" t="s">
        <v>2866</v>
      </c>
      <c r="E1014" t="s">
        <v>74</v>
      </c>
      <c r="F1014" t="s">
        <v>3</v>
      </c>
      <c r="G1014" t="str">
        <f>HYPERLINK("https://www.facebook.com/westukrnews/posts/pfbid05KpJzZfAmc7DG6HMNPojmy3FDtYQBjx33JCcksAdDUDGcWNSDnn66BSqDiowXeWol?comment_id=1955208345384575")</f>
        <v>https://www.facebook.com/westukrnews/posts/pfbid05KpJzZfAmc7DG6HMNPojmy3FDtYQBjx33JCcksAdDUDGcWNSDnn66BSqDiowXeWol?comment_id=1955208345384575</v>
      </c>
      <c r="H1014" t="s">
        <v>28</v>
      </c>
      <c r="I1014" t="s">
        <v>1082</v>
      </c>
      <c r="J1014" t="s">
        <v>1083</v>
      </c>
      <c r="K1014" t="str">
        <f>HYPERLINK("https://www.facebook.com/100002325962358")</f>
        <v>https://www.facebook.com/100002325962358</v>
      </c>
      <c r="M1014" t="s">
        <v>30</v>
      </c>
      <c r="N1014" t="s">
        <v>31</v>
      </c>
      <c r="O1014" t="s">
        <v>813</v>
      </c>
      <c r="P1014" t="str">
        <f>HYPERLINK("https://www.facebook.com/264234810584424")</f>
        <v>https://www.facebook.com/264234810584424</v>
      </c>
      <c r="Q1014">
        <v>559985</v>
      </c>
      <c r="R1014" t="s">
        <v>32</v>
      </c>
      <c r="S1014" t="s">
        <v>85</v>
      </c>
      <c r="T1014" t="s">
        <v>34</v>
      </c>
      <c r="U1014" t="s">
        <v>41</v>
      </c>
      <c r="V1014" t="s">
        <v>42</v>
      </c>
    </row>
    <row r="1015" spans="1:19" ht="16">
      <c r="A1015" t="s">
        <v>2300</v>
      </c>
      <c r="B1015" t="s">
        <v>2865</v>
      </c>
      <c r="C1015" t="s">
        <v>1182</v>
      </c>
      <c r="D1015" t="s">
        <v>2867</v>
      </c>
      <c r="E1015" t="s">
        <v>74</v>
      </c>
      <c r="F1015" t="s">
        <v>3</v>
      </c>
      <c r="G1015" t="str">
        <f>HYPERLINK("https://telegram.me/merchkurilka/2480534")</f>
        <v>https://telegram.me/merchkurilka/2480534</v>
      </c>
      <c r="H1015" t="s">
        <v>28</v>
      </c>
      <c r="I1015" t="s">
        <v>2868</v>
      </c>
      <c r="J1015" t="s">
        <v>2869</v>
      </c>
      <c r="K1015" t="str">
        <f>HYPERLINK("https://telegram.me/stasfru")</f>
        <v>https://telegram.me/stasfru</v>
      </c>
      <c r="M1015" t="s">
        <v>40</v>
      </c>
      <c r="N1015" t="s">
        <v>346</v>
      </c>
      <c r="O1015" t="s">
        <v>2870</v>
      </c>
      <c r="P1015" t="str">
        <f>HYPERLINK("https://telegram.me/merchkurilka")</f>
        <v>https://telegram.me/merchkurilka</v>
      </c>
      <c r="Q1015">
        <v>3431</v>
      </c>
      <c r="R1015" t="s">
        <v>347</v>
      </c>
      <c r="S1015" t="s">
        <v>85</v>
      </c>
    </row>
    <row r="1016" spans="1:22" ht="16">
      <c r="A1016" t="s">
        <v>2300</v>
      </c>
      <c r="B1016" t="s">
        <v>2871</v>
      </c>
      <c r="C1016" t="s">
        <v>80</v>
      </c>
      <c r="D1016" t="s">
        <v>2872</v>
      </c>
      <c r="E1016" t="s">
        <v>74</v>
      </c>
      <c r="F1016" t="s">
        <v>3</v>
      </c>
      <c r="G1016" t="str">
        <f>HYPERLINK("https://www.facebook.com/westukrnews/posts/pfbid05KpJzZfAmc7DG6HMNPojmy3FDtYQBjx33JCcksAdDUDGcWNSDnn66BSqDiowXeWol?comment_id=2350374252056094")</f>
        <v>https://www.facebook.com/westukrnews/posts/pfbid05KpJzZfAmc7DG6HMNPojmy3FDtYQBjx33JCcksAdDUDGcWNSDnn66BSqDiowXeWol?comment_id=2350374252056094</v>
      </c>
      <c r="H1016" t="s">
        <v>28</v>
      </c>
      <c r="I1016" t="s">
        <v>2362</v>
      </c>
      <c r="K1016" t="str">
        <f>HYPERLINK("https://www.facebook.com/61586483394817")</f>
        <v>https://www.facebook.com/61586483394817</v>
      </c>
      <c r="M1016" t="s">
        <v>30</v>
      </c>
      <c r="N1016" t="s">
        <v>31</v>
      </c>
      <c r="O1016" t="s">
        <v>813</v>
      </c>
      <c r="P1016" t="str">
        <f>HYPERLINK("https://www.facebook.com/264234810584424")</f>
        <v>https://www.facebook.com/264234810584424</v>
      </c>
      <c r="Q1016">
        <v>559985</v>
      </c>
      <c r="R1016" t="s">
        <v>32</v>
      </c>
      <c r="S1016" t="s">
        <v>33</v>
      </c>
      <c r="T1016" t="s">
        <v>34</v>
      </c>
      <c r="U1016" t="s">
        <v>487</v>
      </c>
      <c r="V1016" t="s">
        <v>814</v>
      </c>
    </row>
    <row r="1017" spans="1:22" ht="16">
      <c r="A1017" t="s">
        <v>2300</v>
      </c>
      <c r="B1017" t="s">
        <v>2873</v>
      </c>
      <c r="C1017" t="s">
        <v>80</v>
      </c>
      <c r="D1017" t="s">
        <v>2874</v>
      </c>
      <c r="E1017" t="s">
        <v>74</v>
      </c>
      <c r="F1017" t="s">
        <v>3</v>
      </c>
      <c r="G1017" t="str">
        <f>HYPERLINK("https://www.facebook.com/westukrnews/posts/pfbid05KpJzZfAmc7DG6HMNPojmy3FDtYQBjx33JCcksAdDUDGcWNSDnn66BSqDiowXeWol?comment_id=4216891571895855")</f>
        <v>https://www.facebook.com/westukrnews/posts/pfbid05KpJzZfAmc7DG6HMNPojmy3FDtYQBjx33JCcksAdDUDGcWNSDnn66BSqDiowXeWol?comment_id=4216891571895855</v>
      </c>
      <c r="H1017" t="s">
        <v>28</v>
      </c>
      <c r="I1017" t="s">
        <v>2875</v>
      </c>
      <c r="K1017" t="str">
        <f>HYPERLINK("https://www.facebook.com/100033153740911")</f>
        <v>https://www.facebook.com/100033153740911</v>
      </c>
      <c r="M1017" t="s">
        <v>30</v>
      </c>
      <c r="N1017" t="s">
        <v>31</v>
      </c>
      <c r="O1017" t="s">
        <v>813</v>
      </c>
      <c r="P1017" t="str">
        <f>HYPERLINK("https://www.facebook.com/264234810584424")</f>
        <v>https://www.facebook.com/264234810584424</v>
      </c>
      <c r="Q1017">
        <v>559985</v>
      </c>
      <c r="R1017" t="s">
        <v>32</v>
      </c>
      <c r="S1017" t="s">
        <v>33</v>
      </c>
      <c r="T1017" t="s">
        <v>34</v>
      </c>
      <c r="U1017" t="s">
        <v>487</v>
      </c>
      <c r="V1017" t="s">
        <v>814</v>
      </c>
    </row>
    <row r="1018" spans="1:22" ht="16">
      <c r="A1018" t="s">
        <v>2300</v>
      </c>
      <c r="B1018" t="s">
        <v>2873</v>
      </c>
      <c r="C1018" t="s">
        <v>80</v>
      </c>
      <c r="D1018" t="s">
        <v>2876</v>
      </c>
      <c r="E1018" t="s">
        <v>74</v>
      </c>
      <c r="F1018" t="s">
        <v>3</v>
      </c>
      <c r="G1018" t="str">
        <f>HYPERLINK("https://www.facebook.com/westukrnews/posts/pfbid05KpJzZfAmc7DG6HMNPojmy3FDtYQBjx33JCcksAdDUDGcWNSDnn66BSqDiowXeWol?comment_id=2397760400744280")</f>
        <v>https://www.facebook.com/westukrnews/posts/pfbid05KpJzZfAmc7DG6HMNPojmy3FDtYQBjx33JCcksAdDUDGcWNSDnn66BSqDiowXeWol?comment_id=2397760400744280</v>
      </c>
      <c r="H1018" t="s">
        <v>28</v>
      </c>
      <c r="I1018" t="s">
        <v>2877</v>
      </c>
      <c r="K1018" t="str">
        <f>HYPERLINK("https://www.facebook.com/100040639302742")</f>
        <v>https://www.facebook.com/100040639302742</v>
      </c>
      <c r="M1018" t="s">
        <v>40</v>
      </c>
      <c r="N1018" t="s">
        <v>31</v>
      </c>
      <c r="O1018" t="s">
        <v>813</v>
      </c>
      <c r="P1018" t="str">
        <f>HYPERLINK("https://www.facebook.com/264234810584424")</f>
        <v>https://www.facebook.com/264234810584424</v>
      </c>
      <c r="Q1018">
        <v>559985</v>
      </c>
      <c r="R1018" t="s">
        <v>32</v>
      </c>
      <c r="S1018" t="s">
        <v>33</v>
      </c>
      <c r="T1018" t="s">
        <v>34</v>
      </c>
      <c r="U1018" t="s">
        <v>58</v>
      </c>
      <c r="V1018" t="s">
        <v>58</v>
      </c>
    </row>
    <row r="1019" spans="1:22" ht="16">
      <c r="A1019" t="s">
        <v>2300</v>
      </c>
      <c r="B1019" t="s">
        <v>2873</v>
      </c>
      <c r="C1019" t="s">
        <v>80</v>
      </c>
      <c r="D1019" t="s">
        <v>2878</v>
      </c>
      <c r="E1019" t="s">
        <v>74</v>
      </c>
      <c r="F1019" t="s">
        <v>3</v>
      </c>
      <c r="G1019" t="str">
        <f>HYPERLINK("https://www.facebook.com/westukrnews/posts/pfbid05KpJzZfAmc7DG6HMNPojmy3FDtYQBjx33JCcksAdDUDGcWNSDnn66BSqDiowXeWol?comment_id=1632196297919984")</f>
        <v>https://www.facebook.com/westukrnews/posts/pfbid05KpJzZfAmc7DG6HMNPojmy3FDtYQBjx33JCcksAdDUDGcWNSDnn66BSqDiowXeWol?comment_id=1632196297919984</v>
      </c>
      <c r="H1019" t="s">
        <v>28</v>
      </c>
      <c r="I1019" t="s">
        <v>2879</v>
      </c>
      <c r="K1019" t="str">
        <f>HYPERLINK("https://www.facebook.com/100010730316743")</f>
        <v>https://www.facebook.com/100010730316743</v>
      </c>
      <c r="M1019" t="s">
        <v>30</v>
      </c>
      <c r="N1019" t="s">
        <v>31</v>
      </c>
      <c r="O1019" t="s">
        <v>813</v>
      </c>
      <c r="P1019" t="str">
        <f>HYPERLINK("https://www.facebook.com/264234810584424")</f>
        <v>https://www.facebook.com/264234810584424</v>
      </c>
      <c r="Q1019">
        <v>559985</v>
      </c>
      <c r="R1019" t="s">
        <v>32</v>
      </c>
      <c r="S1019" t="s">
        <v>33</v>
      </c>
      <c r="T1019" t="s">
        <v>34</v>
      </c>
      <c r="U1019" t="s">
        <v>487</v>
      </c>
      <c r="V1019" t="s">
        <v>814</v>
      </c>
    </row>
    <row r="1020" spans="1:22" ht="16">
      <c r="A1020" t="s">
        <v>2300</v>
      </c>
      <c r="B1020" t="s">
        <v>2873</v>
      </c>
      <c r="C1020" t="s">
        <v>80</v>
      </c>
      <c r="D1020" t="s">
        <v>2880</v>
      </c>
      <c r="E1020" t="s">
        <v>74</v>
      </c>
      <c r="F1020" t="s">
        <v>3</v>
      </c>
      <c r="G1020" t="str">
        <f>HYPERLINK("https://www.facebook.com/permalink.php?story_fbid=pfbid02rbt51TUb57HR4F6gBd5FwSTuyaUp3gHvM6gsAExHboTPbUq2FdNvTKt3sBpRB8pml&amp;id=100006975138432&amp;comment_id=1408271030468443")</f>
        <v>https://www.facebook.com/permalink.php?story_fbid=pfbid02rbt51TUb57HR4F6gBd5FwSTuyaUp3gHvM6gsAExHboTPbUq2FdNvTKt3sBpRB8pml&amp;id=100006975138432&amp;comment_id=1408271030468443</v>
      </c>
      <c r="H1020" t="s">
        <v>28</v>
      </c>
      <c r="I1020" t="s">
        <v>2881</v>
      </c>
      <c r="K1020" t="str">
        <f>HYPERLINK("https://www.facebook.com/100022278872433")</f>
        <v>https://www.facebook.com/100022278872433</v>
      </c>
      <c r="M1020" t="s">
        <v>40</v>
      </c>
      <c r="N1020" t="s">
        <v>31</v>
      </c>
      <c r="O1020" t="s">
        <v>1399</v>
      </c>
      <c r="P1020" t="str">
        <f>HYPERLINK("https://www.facebook.com/100006975138432")</f>
        <v>https://www.facebook.com/100006975138432</v>
      </c>
      <c r="R1020" t="s">
        <v>32</v>
      </c>
      <c r="S1020" t="s">
        <v>85</v>
      </c>
      <c r="T1020" t="s">
        <v>34</v>
      </c>
      <c r="U1020" t="s">
        <v>598</v>
      </c>
      <c r="V1020" t="s">
        <v>599</v>
      </c>
    </row>
    <row r="1021" spans="1:22" ht="16">
      <c r="A1021" t="s">
        <v>2300</v>
      </c>
      <c r="B1021" t="s">
        <v>2873</v>
      </c>
      <c r="C1021" t="s">
        <v>80</v>
      </c>
      <c r="D1021" t="s">
        <v>2882</v>
      </c>
      <c r="E1021" t="s">
        <v>74</v>
      </c>
      <c r="F1021" t="s">
        <v>3</v>
      </c>
      <c r="G1021" t="str">
        <f>HYPERLINK("https://www.facebook.com/westukrnews/posts/pfbid05KpJzZfAmc7DG6HMNPojmy3FDtYQBjx33JCcksAdDUDGcWNSDnn66BSqDiowXeWol?comment_id=884931477703092")</f>
        <v>https://www.facebook.com/westukrnews/posts/pfbid05KpJzZfAmc7DG6HMNPojmy3FDtYQBjx33JCcksAdDUDGcWNSDnn66BSqDiowXeWol?comment_id=884931477703092</v>
      </c>
      <c r="H1021" t="s">
        <v>28</v>
      </c>
      <c r="I1021" t="s">
        <v>2883</v>
      </c>
      <c r="K1021" t="str">
        <f>HYPERLINK("https://www.facebook.com/100067917127319")</f>
        <v>https://www.facebook.com/100067917127319</v>
      </c>
      <c r="M1021" t="s">
        <v>30</v>
      </c>
      <c r="N1021" t="s">
        <v>31</v>
      </c>
      <c r="O1021" t="s">
        <v>813</v>
      </c>
      <c r="P1021" t="str">
        <f>HYPERLINK("https://www.facebook.com/264234810584424")</f>
        <v>https://www.facebook.com/264234810584424</v>
      </c>
      <c r="Q1021">
        <v>559985</v>
      </c>
      <c r="R1021" t="s">
        <v>32</v>
      </c>
      <c r="S1021" t="s">
        <v>85</v>
      </c>
      <c r="T1021" t="s">
        <v>34</v>
      </c>
      <c r="U1021" t="s">
        <v>487</v>
      </c>
      <c r="V1021" t="s">
        <v>814</v>
      </c>
    </row>
    <row r="1022" spans="1:22" ht="16">
      <c r="A1022" t="s">
        <v>2300</v>
      </c>
      <c r="B1022" t="s">
        <v>2884</v>
      </c>
      <c r="C1022" t="s">
        <v>80</v>
      </c>
      <c r="D1022" t="s">
        <v>2885</v>
      </c>
      <c r="E1022" t="s">
        <v>74</v>
      </c>
      <c r="F1022" t="s">
        <v>3</v>
      </c>
      <c r="G1022" t="str">
        <f>HYPERLINK("https://www.facebook.com/permalink.php?story_fbid=pfbid02rbt51TUb57HR4F6gBd5FwSTuyaUp3gHvM6gsAExHboTPbUq2FdNvTKt3sBpRB8pml&amp;id=100006975138432&amp;comment_id=978297395372761&amp;reply_comment_id=1813084376031102")</f>
        <v>https://www.facebook.com/permalink.php?story_fbid=pfbid02rbt51TUb57HR4F6gBd5FwSTuyaUp3gHvM6gsAExHboTPbUq2FdNvTKt3sBpRB8pml&amp;id=100006975138432&amp;comment_id=978297395372761&amp;reply_comment_id=1813084376031102</v>
      </c>
      <c r="H1022" t="s">
        <v>28</v>
      </c>
      <c r="I1022" t="s">
        <v>2886</v>
      </c>
      <c r="K1022" t="str">
        <f>HYPERLINK("https://www.facebook.com/100082163221913")</f>
        <v>https://www.facebook.com/100082163221913</v>
      </c>
      <c r="M1022" t="s">
        <v>30</v>
      </c>
      <c r="N1022" t="s">
        <v>31</v>
      </c>
      <c r="O1022" t="s">
        <v>1399</v>
      </c>
      <c r="P1022" t="str">
        <f>HYPERLINK("https://www.facebook.com/100006975138432")</f>
        <v>https://www.facebook.com/100006975138432</v>
      </c>
      <c r="R1022" t="s">
        <v>32</v>
      </c>
      <c r="S1022" t="s">
        <v>33</v>
      </c>
      <c r="T1022" t="s">
        <v>34</v>
      </c>
      <c r="U1022" t="s">
        <v>58</v>
      </c>
      <c r="V1022" t="s">
        <v>58</v>
      </c>
    </row>
    <row r="1023" spans="1:20" ht="16">
      <c r="A1023" t="s">
        <v>2300</v>
      </c>
      <c r="B1023" t="s">
        <v>2884</v>
      </c>
      <c r="C1023" t="s">
        <v>24</v>
      </c>
      <c r="D1023" t="s">
        <v>2887</v>
      </c>
      <c r="E1023" t="s">
        <v>45</v>
      </c>
      <c r="F1023" t="s">
        <v>3</v>
      </c>
      <c r="G1023" t="str">
        <f>HYPERLINK("https://twitter.com/TVK60963607/status/2027459921625645144")</f>
        <v>https://twitter.com/TVK60963607/status/2027459921625645144</v>
      </c>
      <c r="H1023" t="s">
        <v>28</v>
      </c>
      <c r="I1023" t="s">
        <v>2888</v>
      </c>
      <c r="J1023" t="s">
        <v>2889</v>
      </c>
      <c r="K1023" t="str">
        <f>HYPERLINK("http://twitter.com/TVK60963607")</f>
        <v>http://twitter.com/TVK60963607</v>
      </c>
      <c r="L1023">
        <v>57</v>
      </c>
      <c r="N1023" t="s">
        <v>278</v>
      </c>
      <c r="R1023" t="s">
        <v>32</v>
      </c>
      <c r="S1023" t="s">
        <v>33</v>
      </c>
      <c r="T1023" t="s">
        <v>34</v>
      </c>
    </row>
    <row r="1024" spans="1:19" ht="16">
      <c r="A1024" t="s">
        <v>2300</v>
      </c>
      <c r="B1024" t="s">
        <v>2884</v>
      </c>
      <c r="C1024" t="s">
        <v>24</v>
      </c>
      <c r="D1024" t="s">
        <v>2007</v>
      </c>
      <c r="E1024" t="s">
        <v>45</v>
      </c>
      <c r="F1024" t="s">
        <v>281</v>
      </c>
      <c r="G1024" t="str">
        <f>HYPERLINK("https://twitter.com/U88443874/status/2027459817053249943")</f>
        <v>https://twitter.com/U88443874/status/2027459817053249943</v>
      </c>
      <c r="H1024" t="s">
        <v>28</v>
      </c>
      <c r="I1024" t="s">
        <v>2890</v>
      </c>
      <c r="J1024" t="s">
        <v>2891</v>
      </c>
      <c r="K1024" t="str">
        <f>HYPERLINK("http://twitter.com/U88443874")</f>
        <v>http://twitter.com/U88443874</v>
      </c>
      <c r="L1024">
        <v>441</v>
      </c>
      <c r="N1024" t="s">
        <v>278</v>
      </c>
      <c r="R1024" t="s">
        <v>32</v>
      </c>
      <c r="S1024" t="s">
        <v>33</v>
      </c>
    </row>
    <row r="1025" spans="1:19" ht="16">
      <c r="A1025" t="s">
        <v>2300</v>
      </c>
      <c r="B1025" t="s">
        <v>1101</v>
      </c>
      <c r="C1025" t="s">
        <v>24</v>
      </c>
      <c r="D1025" t="s">
        <v>2276</v>
      </c>
      <c r="E1025" t="s">
        <v>45</v>
      </c>
      <c r="F1025" t="s">
        <v>3</v>
      </c>
      <c r="G1025" t="str">
        <f>HYPERLINK("https://twitter.com/Evgen89936/status/2027459397547389183")</f>
        <v>https://twitter.com/Evgen89936/status/2027459397547389183</v>
      </c>
      <c r="H1025" t="s">
        <v>28</v>
      </c>
      <c r="I1025" t="s">
        <v>2892</v>
      </c>
      <c r="J1025" t="s">
        <v>2893</v>
      </c>
      <c r="K1025" t="str">
        <f>HYPERLINK("http://twitter.com/Evgen89936")</f>
        <v>http://twitter.com/Evgen89936</v>
      </c>
      <c r="L1025">
        <v>14</v>
      </c>
      <c r="M1025" t="s">
        <v>40</v>
      </c>
      <c r="N1025" t="s">
        <v>278</v>
      </c>
      <c r="R1025" t="s">
        <v>32</v>
      </c>
      <c r="S1025" t="s">
        <v>33</v>
      </c>
    </row>
    <row r="1026" spans="1:21" ht="16">
      <c r="A1026" t="s">
        <v>2300</v>
      </c>
      <c r="B1026" t="s">
        <v>1101</v>
      </c>
      <c r="C1026" t="s">
        <v>24</v>
      </c>
      <c r="D1026" t="s">
        <v>2894</v>
      </c>
      <c r="E1026" t="s">
        <v>101</v>
      </c>
      <c r="F1026" t="s">
        <v>46</v>
      </c>
      <c r="G1026" t="str">
        <f>HYPERLINK("https://www.facebook.com/1485341659929918")</f>
        <v>https://www.facebook.com/1485341659929918</v>
      </c>
      <c r="H1026" t="s">
        <v>28</v>
      </c>
      <c r="I1026" t="s">
        <v>2895</v>
      </c>
      <c r="J1026" t="s">
        <v>2896</v>
      </c>
      <c r="K1026" t="str">
        <f>HYPERLINK("https://www.facebook.com/100053622933623")</f>
        <v>https://www.facebook.com/100053622933623</v>
      </c>
      <c r="M1026" t="s">
        <v>30</v>
      </c>
      <c r="N1026" t="s">
        <v>31</v>
      </c>
      <c r="O1026" t="s">
        <v>2895</v>
      </c>
      <c r="P1026" t="str">
        <f>HYPERLINK("https://www.facebook.com/100053622933623")</f>
        <v>https://www.facebook.com/100053622933623</v>
      </c>
      <c r="R1026" t="s">
        <v>32</v>
      </c>
      <c r="S1026" t="s">
        <v>33</v>
      </c>
      <c r="T1026" t="s">
        <v>2897</v>
      </c>
      <c r="U1026" t="s">
        <v>2898</v>
      </c>
    </row>
    <row r="1027" spans="1:22" ht="16">
      <c r="A1027" t="s">
        <v>2300</v>
      </c>
      <c r="B1027" t="s">
        <v>1101</v>
      </c>
      <c r="C1027" t="s">
        <v>768</v>
      </c>
      <c r="D1027" t="s">
        <v>2899</v>
      </c>
      <c r="E1027" t="s">
        <v>74</v>
      </c>
      <c r="F1027" t="s">
        <v>3</v>
      </c>
      <c r="G1027" t="str">
        <f>HYPERLINK("https://www.facebook.com/toyelviv/posts/pfbid02HyVHmdRrHaKvpJCV4k8sSATEQmB44tvrgpepSrJQ66Qs74jVAzPQ6qaz5ZMHUoNBl?comment_id=948879484490634")</f>
        <v>https://www.facebook.com/toyelviv/posts/pfbid02HyVHmdRrHaKvpJCV4k8sSATEQmB44tvrgpepSrJQ66Qs74jVAzPQ6qaz5ZMHUoNBl?comment_id=948879484490634</v>
      </c>
      <c r="H1027" t="s">
        <v>28</v>
      </c>
      <c r="I1027" t="s">
        <v>2900</v>
      </c>
      <c r="J1027" t="s">
        <v>2901</v>
      </c>
      <c r="K1027" t="str">
        <f>HYPERLINK("https://www.facebook.com/1843152846")</f>
        <v>https://www.facebook.com/1843152846</v>
      </c>
      <c r="M1027" t="s">
        <v>40</v>
      </c>
      <c r="N1027" t="s">
        <v>31</v>
      </c>
      <c r="O1027" t="s">
        <v>1559</v>
      </c>
      <c r="P1027" t="str">
        <f>HYPERLINK("https://www.facebook.com/320892981422193")</f>
        <v>https://www.facebook.com/320892981422193</v>
      </c>
      <c r="Q1027">
        <v>293869</v>
      </c>
      <c r="R1027" t="s">
        <v>32</v>
      </c>
      <c r="S1027" t="s">
        <v>33</v>
      </c>
      <c r="T1027" t="s">
        <v>34</v>
      </c>
      <c r="U1027" t="s">
        <v>41</v>
      </c>
      <c r="V1027" t="s">
        <v>42</v>
      </c>
    </row>
    <row r="1028" spans="1:22" ht="16">
      <c r="A1028" t="s">
        <v>2300</v>
      </c>
      <c r="B1028" t="s">
        <v>1101</v>
      </c>
      <c r="C1028" t="s">
        <v>80</v>
      </c>
      <c r="D1028" t="s">
        <v>2902</v>
      </c>
      <c r="E1028" t="s">
        <v>74</v>
      </c>
      <c r="F1028" t="s">
        <v>3</v>
      </c>
      <c r="G1028" t="str">
        <f>HYPERLINK("https://www.facebook.com/westukrnews/posts/pfbid05KpJzZfAmc7DG6HMNPojmy3FDtYQBjx33JCcksAdDUDGcWNSDnn66BSqDiowXeWol?comment_id=1595527124832666")</f>
        <v>https://www.facebook.com/westukrnews/posts/pfbid05KpJzZfAmc7DG6HMNPojmy3FDtYQBjx33JCcksAdDUDGcWNSDnn66BSqDiowXeWol?comment_id=1595527124832666</v>
      </c>
      <c r="H1028" t="s">
        <v>28</v>
      </c>
      <c r="I1028" t="s">
        <v>2903</v>
      </c>
      <c r="K1028" t="str">
        <f>HYPERLINK("https://www.facebook.com/100005650394913")</f>
        <v>https://www.facebook.com/100005650394913</v>
      </c>
      <c r="L1028">
        <v>0</v>
      </c>
      <c r="M1028" t="s">
        <v>40</v>
      </c>
      <c r="N1028" t="s">
        <v>31</v>
      </c>
      <c r="O1028" t="s">
        <v>813</v>
      </c>
      <c r="P1028" t="str">
        <f>HYPERLINK("https://www.facebook.com/264234810584424")</f>
        <v>https://www.facebook.com/264234810584424</v>
      </c>
      <c r="Q1028">
        <v>559985</v>
      </c>
      <c r="R1028" t="s">
        <v>32</v>
      </c>
      <c r="S1028" t="s">
        <v>33</v>
      </c>
      <c r="T1028" t="s">
        <v>34</v>
      </c>
      <c r="U1028" t="s">
        <v>487</v>
      </c>
      <c r="V1028" t="s">
        <v>814</v>
      </c>
    </row>
    <row r="1029" spans="1:20" ht="16">
      <c r="A1029" t="s">
        <v>2300</v>
      </c>
      <c r="B1029" t="s">
        <v>1104</v>
      </c>
      <c r="C1029" t="s">
        <v>768</v>
      </c>
      <c r="D1029" t="s">
        <v>2904</v>
      </c>
      <c r="E1029" t="s">
        <v>74</v>
      </c>
      <c r="F1029" t="s">
        <v>3</v>
      </c>
      <c r="G1029" t="str">
        <f>HYPERLINK("https://www.facebook.com/toyelviv/posts/pfbid02HyVHmdRrHaKvpJCV4k8sSATEQmB44tvrgpepSrJQ66Qs74jVAzPQ6qaz5ZMHUoNBl?comment_id=704505492653589")</f>
        <v>https://www.facebook.com/toyelviv/posts/pfbid02HyVHmdRrHaKvpJCV4k8sSATEQmB44tvrgpepSrJQ66Qs74jVAzPQ6qaz5ZMHUoNBl?comment_id=704505492653589</v>
      </c>
      <c r="H1029" t="s">
        <v>28</v>
      </c>
      <c r="I1029" t="s">
        <v>2905</v>
      </c>
      <c r="K1029" t="str">
        <f>HYPERLINK("https://www.facebook.com/100039359718225")</f>
        <v>https://www.facebook.com/100039359718225</v>
      </c>
      <c r="L1029">
        <v>201</v>
      </c>
      <c r="M1029" t="s">
        <v>30</v>
      </c>
      <c r="N1029" t="s">
        <v>31</v>
      </c>
      <c r="O1029" t="s">
        <v>1559</v>
      </c>
      <c r="P1029" t="str">
        <f>HYPERLINK("https://www.facebook.com/320892981422193")</f>
        <v>https://www.facebook.com/320892981422193</v>
      </c>
      <c r="Q1029">
        <v>293869</v>
      </c>
      <c r="R1029" t="s">
        <v>32</v>
      </c>
      <c r="S1029" t="s">
        <v>33</v>
      </c>
      <c r="T1029" t="s">
        <v>34</v>
      </c>
    </row>
    <row r="1030" spans="1:21" ht="16">
      <c r="A1030" t="s">
        <v>2300</v>
      </c>
      <c r="B1030" t="s">
        <v>1104</v>
      </c>
      <c r="C1030" t="s">
        <v>24</v>
      </c>
      <c r="D1030" t="s">
        <v>44</v>
      </c>
      <c r="E1030" t="s">
        <v>45</v>
      </c>
      <c r="F1030" t="s">
        <v>46</v>
      </c>
      <c r="G1030" t="str">
        <f>HYPERLINK("https://www.facebook.com/1485341199929964")</f>
        <v>https://www.facebook.com/1485341199929964</v>
      </c>
      <c r="H1030" t="s">
        <v>28</v>
      </c>
      <c r="I1030" t="s">
        <v>2895</v>
      </c>
      <c r="J1030" t="s">
        <v>2896</v>
      </c>
      <c r="K1030" t="str">
        <f>HYPERLINK("https://www.facebook.com/100053622933623")</f>
        <v>https://www.facebook.com/100053622933623</v>
      </c>
      <c r="M1030" t="s">
        <v>30</v>
      </c>
      <c r="N1030" t="s">
        <v>31</v>
      </c>
      <c r="O1030" t="s">
        <v>2895</v>
      </c>
      <c r="P1030" t="str">
        <f>HYPERLINK("https://www.facebook.com/100053622933623")</f>
        <v>https://www.facebook.com/100053622933623</v>
      </c>
      <c r="R1030" t="s">
        <v>32</v>
      </c>
      <c r="S1030" t="s">
        <v>33</v>
      </c>
      <c r="T1030" t="s">
        <v>2897</v>
      </c>
      <c r="U1030" t="s">
        <v>2898</v>
      </c>
    </row>
    <row r="1031" spans="1:22" ht="16">
      <c r="A1031" t="s">
        <v>2300</v>
      </c>
      <c r="B1031" t="s">
        <v>2906</v>
      </c>
      <c r="C1031" t="s">
        <v>80</v>
      </c>
      <c r="D1031" t="s">
        <v>2907</v>
      </c>
      <c r="E1031" t="s">
        <v>74</v>
      </c>
      <c r="F1031" t="s">
        <v>3</v>
      </c>
      <c r="G1031" t="str">
        <f>HYPERLINK("https://www.facebook.com/permalink.php?story_fbid=pfbid02rbt51TUb57HR4F6gBd5FwSTuyaUp3gHvM6gsAExHboTPbUq2FdNvTKt3sBpRB8pml&amp;id=100006975138432&amp;comment_id=2355742378186427")</f>
        <v>https://www.facebook.com/permalink.php?story_fbid=pfbid02rbt51TUb57HR4F6gBd5FwSTuyaUp3gHvM6gsAExHboTPbUq2FdNvTKt3sBpRB8pml&amp;id=100006975138432&amp;comment_id=2355742378186427</v>
      </c>
      <c r="H1031" t="s">
        <v>28</v>
      </c>
      <c r="I1031" t="s">
        <v>2908</v>
      </c>
      <c r="K1031" t="str">
        <f>HYPERLINK("https://www.facebook.com/100004276158899")</f>
        <v>https://www.facebook.com/100004276158899</v>
      </c>
      <c r="M1031" t="s">
        <v>40</v>
      </c>
      <c r="N1031" t="s">
        <v>31</v>
      </c>
      <c r="O1031" t="s">
        <v>1399</v>
      </c>
      <c r="P1031" t="str">
        <f>HYPERLINK("https://www.facebook.com/100006975138432")</f>
        <v>https://www.facebook.com/100006975138432</v>
      </c>
      <c r="R1031" t="s">
        <v>32</v>
      </c>
      <c r="S1031" t="s">
        <v>33</v>
      </c>
      <c r="T1031" t="s">
        <v>34</v>
      </c>
      <c r="U1031" t="s">
        <v>58</v>
      </c>
      <c r="V1031" t="s">
        <v>58</v>
      </c>
    </row>
    <row r="1032" spans="1:22" ht="16">
      <c r="A1032" t="s">
        <v>2300</v>
      </c>
      <c r="B1032" t="s">
        <v>2906</v>
      </c>
      <c r="C1032" t="s">
        <v>24</v>
      </c>
      <c r="D1032" t="s">
        <v>2909</v>
      </c>
      <c r="E1032" t="s">
        <v>101</v>
      </c>
      <c r="F1032" t="s">
        <v>46</v>
      </c>
      <c r="G1032" t="str">
        <f>HYPERLINK("https://www.facebook.com/26243712388650216")</f>
        <v>https://www.facebook.com/26243712388650216</v>
      </c>
      <c r="H1032" t="s">
        <v>28</v>
      </c>
      <c r="I1032" t="s">
        <v>2910</v>
      </c>
      <c r="J1032" t="s">
        <v>2911</v>
      </c>
      <c r="K1032" t="str">
        <f>HYPERLINK("https://www.facebook.com/100003144373273")</f>
        <v>https://www.facebook.com/100003144373273</v>
      </c>
      <c r="M1032" t="s">
        <v>40</v>
      </c>
      <c r="N1032" t="s">
        <v>31</v>
      </c>
      <c r="O1032" t="s">
        <v>2910</v>
      </c>
      <c r="P1032" t="str">
        <f>HYPERLINK("https://www.facebook.com/100003144373273")</f>
        <v>https://www.facebook.com/100003144373273</v>
      </c>
      <c r="R1032" t="s">
        <v>32</v>
      </c>
      <c r="S1032" t="s">
        <v>33</v>
      </c>
      <c r="T1032" t="s">
        <v>34</v>
      </c>
      <c r="U1032" t="s">
        <v>439</v>
      </c>
      <c r="V1032" t="s">
        <v>2912</v>
      </c>
    </row>
    <row r="1033" spans="1:22" ht="16">
      <c r="A1033" t="s">
        <v>2300</v>
      </c>
      <c r="B1033" t="s">
        <v>2913</v>
      </c>
      <c r="C1033" t="s">
        <v>2380</v>
      </c>
      <c r="D1033" t="s">
        <v>2914</v>
      </c>
      <c r="E1033" t="s">
        <v>74</v>
      </c>
      <c r="F1033" t="s">
        <v>3</v>
      </c>
      <c r="G1033" t="str">
        <f>HYPERLINK("https://www.facebook.com/groups/freeproskuriv/posts/3332742730208675/?comment_id=3332802080202740&amp;reply_comment_id=3332835656866049")</f>
        <v>https://www.facebook.com/groups/freeproskuriv/posts/3332742730208675/?comment_id=3332802080202740&amp;reply_comment_id=3332835656866049</v>
      </c>
      <c r="H1033" t="s">
        <v>28</v>
      </c>
      <c r="I1033" t="s">
        <v>2915</v>
      </c>
      <c r="K1033" t="str">
        <f>HYPERLINK("https://www.facebook.com/100009423039722")</f>
        <v>https://www.facebook.com/100009423039722</v>
      </c>
      <c r="M1033" t="s">
        <v>40</v>
      </c>
      <c r="N1033" t="s">
        <v>31</v>
      </c>
      <c r="O1033" t="s">
        <v>2383</v>
      </c>
      <c r="P1033" t="str">
        <f>HYPERLINK("https://www.facebook.com/606259306190378")</f>
        <v>https://www.facebook.com/606259306190378</v>
      </c>
      <c r="Q1033">
        <v>3386</v>
      </c>
      <c r="R1033" t="s">
        <v>32</v>
      </c>
      <c r="S1033" t="s">
        <v>33</v>
      </c>
      <c r="T1033" t="s">
        <v>256</v>
      </c>
      <c r="U1033" t="s">
        <v>992</v>
      </c>
      <c r="V1033" t="s">
        <v>992</v>
      </c>
    </row>
    <row r="1034" spans="1:22" ht="16">
      <c r="A1034" t="s">
        <v>2300</v>
      </c>
      <c r="B1034" t="s">
        <v>2913</v>
      </c>
      <c r="C1034" t="s">
        <v>80</v>
      </c>
      <c r="D1034" t="s">
        <v>2916</v>
      </c>
      <c r="E1034" t="s">
        <v>74</v>
      </c>
      <c r="F1034" t="s">
        <v>3</v>
      </c>
      <c r="G1034" t="str">
        <f>HYPERLINK("https://www.facebook.com/westukrnews/posts/pfbid05KpJzZfAmc7DG6HMNPojmy3FDtYQBjx33JCcksAdDUDGcWNSDnn66BSqDiowXeWol?comment_id=901312332888425")</f>
        <v>https://www.facebook.com/westukrnews/posts/pfbid05KpJzZfAmc7DG6HMNPojmy3FDtYQBjx33JCcksAdDUDGcWNSDnn66BSqDiowXeWol?comment_id=901312332888425</v>
      </c>
      <c r="H1034" t="s">
        <v>28</v>
      </c>
      <c r="I1034" t="s">
        <v>2917</v>
      </c>
      <c r="K1034" t="str">
        <f>HYPERLINK("https://www.facebook.com/100017481000392")</f>
        <v>https://www.facebook.com/100017481000392</v>
      </c>
      <c r="M1034" t="s">
        <v>40</v>
      </c>
      <c r="N1034" t="s">
        <v>31</v>
      </c>
      <c r="O1034" t="s">
        <v>813</v>
      </c>
      <c r="P1034" t="str">
        <f>HYPERLINK("https://www.facebook.com/264234810584424")</f>
        <v>https://www.facebook.com/264234810584424</v>
      </c>
      <c r="Q1034">
        <v>559985</v>
      </c>
      <c r="R1034" t="s">
        <v>32</v>
      </c>
      <c r="S1034" t="s">
        <v>33</v>
      </c>
      <c r="T1034" t="s">
        <v>34</v>
      </c>
      <c r="U1034" t="s">
        <v>487</v>
      </c>
      <c r="V1034" t="s">
        <v>814</v>
      </c>
    </row>
    <row r="1035" spans="1:22" ht="16">
      <c r="A1035" t="s">
        <v>2300</v>
      </c>
      <c r="B1035" t="s">
        <v>2913</v>
      </c>
      <c r="C1035" t="s">
        <v>80</v>
      </c>
      <c r="D1035" t="s">
        <v>2918</v>
      </c>
      <c r="E1035" t="s">
        <v>74</v>
      </c>
      <c r="F1035" t="s">
        <v>3</v>
      </c>
      <c r="G1035" t="str">
        <f>HYPERLINK("https://www.facebook.com/westukrnews/posts/pfbid05KpJzZfAmc7DG6HMNPojmy3FDtYQBjx33JCcksAdDUDGcWNSDnn66BSqDiowXeWol?comment_id=757185390524912")</f>
        <v>https://www.facebook.com/westukrnews/posts/pfbid05KpJzZfAmc7DG6HMNPojmy3FDtYQBjx33JCcksAdDUDGcWNSDnn66BSqDiowXeWol?comment_id=757185390524912</v>
      </c>
      <c r="H1035" t="s">
        <v>28</v>
      </c>
      <c r="I1035" t="s">
        <v>2919</v>
      </c>
      <c r="K1035" t="str">
        <f>HYPERLINK("https://www.facebook.com/100017337582707")</f>
        <v>https://www.facebook.com/100017337582707</v>
      </c>
      <c r="M1035" t="s">
        <v>30</v>
      </c>
      <c r="N1035" t="s">
        <v>31</v>
      </c>
      <c r="O1035" t="s">
        <v>813</v>
      </c>
      <c r="P1035" t="str">
        <f>HYPERLINK("https://www.facebook.com/264234810584424")</f>
        <v>https://www.facebook.com/264234810584424</v>
      </c>
      <c r="Q1035">
        <v>559985</v>
      </c>
      <c r="R1035" t="s">
        <v>32</v>
      </c>
      <c r="S1035" t="s">
        <v>33</v>
      </c>
      <c r="T1035" t="s">
        <v>34</v>
      </c>
      <c r="U1035" t="s">
        <v>487</v>
      </c>
      <c r="V1035" t="s">
        <v>814</v>
      </c>
    </row>
    <row r="1036" spans="1:22" ht="16">
      <c r="A1036" t="s">
        <v>2300</v>
      </c>
      <c r="B1036" t="s">
        <v>2913</v>
      </c>
      <c r="C1036" t="s">
        <v>768</v>
      </c>
      <c r="D1036" t="s">
        <v>2920</v>
      </c>
      <c r="E1036" t="s">
        <v>74</v>
      </c>
      <c r="F1036" t="s">
        <v>3</v>
      </c>
      <c r="G1036" t="str">
        <f>HYPERLINK("https://www.facebook.com/toyelviv/posts/pfbid02HyVHmdRrHaKvpJCV4k8sSATEQmB44tvrgpepSrJQ66Qs74jVAzPQ6qaz5ZMHUoNBl?comment_id=1431172071259793")</f>
        <v>https://www.facebook.com/toyelviv/posts/pfbid02HyVHmdRrHaKvpJCV4k8sSATEQmB44tvrgpepSrJQ66Qs74jVAzPQ6qaz5ZMHUoNBl?comment_id=1431172071259793</v>
      </c>
      <c r="H1036" t="s">
        <v>28</v>
      </c>
      <c r="I1036" t="s">
        <v>2921</v>
      </c>
      <c r="K1036" t="str">
        <f>HYPERLINK("https://www.facebook.com/100018706785200")</f>
        <v>https://www.facebook.com/100018706785200</v>
      </c>
      <c r="M1036" t="s">
        <v>40</v>
      </c>
      <c r="N1036" t="s">
        <v>31</v>
      </c>
      <c r="O1036" t="s">
        <v>1559</v>
      </c>
      <c r="P1036" t="str">
        <f>HYPERLINK("https://www.facebook.com/320892981422193")</f>
        <v>https://www.facebook.com/320892981422193</v>
      </c>
      <c r="Q1036">
        <v>293869</v>
      </c>
      <c r="R1036" t="s">
        <v>32</v>
      </c>
      <c r="S1036" t="s">
        <v>33</v>
      </c>
      <c r="T1036" t="s">
        <v>34</v>
      </c>
      <c r="U1036" t="s">
        <v>41</v>
      </c>
      <c r="V1036" t="s">
        <v>2583</v>
      </c>
    </row>
    <row r="1037" spans="1:20" ht="16">
      <c r="A1037" t="s">
        <v>2300</v>
      </c>
      <c r="B1037" t="s">
        <v>2922</v>
      </c>
      <c r="C1037" t="s">
        <v>24</v>
      </c>
      <c r="D1037" t="s">
        <v>2007</v>
      </c>
      <c r="E1037" t="s">
        <v>45</v>
      </c>
      <c r="F1037" t="s">
        <v>281</v>
      </c>
      <c r="G1037" t="str">
        <f>HYPERLINK("https://twitter.com/eytzwk/status/2027458307581989196")</f>
        <v>https://twitter.com/eytzwk/status/2027458307581989196</v>
      </c>
      <c r="H1037" t="s">
        <v>28</v>
      </c>
      <c r="I1037" t="s">
        <v>2923</v>
      </c>
      <c r="J1037" t="s">
        <v>2924</v>
      </c>
      <c r="K1037" t="str">
        <f>HYPERLINK("http://twitter.com/eytzwk")</f>
        <v>http://twitter.com/eytzwk</v>
      </c>
      <c r="L1037">
        <v>209</v>
      </c>
      <c r="M1037" t="s">
        <v>40</v>
      </c>
      <c r="N1037" t="s">
        <v>278</v>
      </c>
      <c r="R1037" t="s">
        <v>32</v>
      </c>
      <c r="S1037" t="s">
        <v>33</v>
      </c>
      <c r="T1037" t="s">
        <v>1284</v>
      </c>
    </row>
    <row r="1038" spans="1:20" ht="16">
      <c r="A1038" t="s">
        <v>2300</v>
      </c>
      <c r="B1038" t="s">
        <v>2922</v>
      </c>
      <c r="C1038" t="s">
        <v>768</v>
      </c>
      <c r="D1038" t="s">
        <v>2925</v>
      </c>
      <c r="E1038" t="s">
        <v>74</v>
      </c>
      <c r="F1038" t="s">
        <v>3</v>
      </c>
      <c r="G1038" t="str">
        <f>HYPERLINK("https://www.facebook.com/toyelviv/posts/pfbid02HyVHmdRrHaKvpJCV4k8sSATEQmB44tvrgpepSrJQ66Qs74jVAzPQ6qaz5ZMHUoNBl?comment_id=2899480756913871")</f>
        <v>https://www.facebook.com/toyelviv/posts/pfbid02HyVHmdRrHaKvpJCV4k8sSATEQmB44tvrgpepSrJQ66Qs74jVAzPQ6qaz5ZMHUoNBl?comment_id=2899480756913871</v>
      </c>
      <c r="H1038" t="s">
        <v>28</v>
      </c>
      <c r="I1038" t="s">
        <v>2926</v>
      </c>
      <c r="K1038" t="str">
        <f>HYPERLINK("https://www.facebook.com/100007010761848")</f>
        <v>https://www.facebook.com/100007010761848</v>
      </c>
      <c r="M1038" t="s">
        <v>40</v>
      </c>
      <c r="N1038" t="s">
        <v>31</v>
      </c>
      <c r="O1038" t="s">
        <v>1559</v>
      </c>
      <c r="P1038" t="str">
        <f>HYPERLINK("https://www.facebook.com/320892981422193")</f>
        <v>https://www.facebook.com/320892981422193</v>
      </c>
      <c r="Q1038">
        <v>293869</v>
      </c>
      <c r="R1038" t="s">
        <v>32</v>
      </c>
      <c r="S1038" t="s">
        <v>85</v>
      </c>
      <c r="T1038" t="s">
        <v>34</v>
      </c>
    </row>
    <row r="1039" spans="1:22" ht="16">
      <c r="A1039" t="s">
        <v>2300</v>
      </c>
      <c r="B1039" t="s">
        <v>2927</v>
      </c>
      <c r="C1039" t="s">
        <v>768</v>
      </c>
      <c r="D1039" t="s">
        <v>2928</v>
      </c>
      <c r="E1039" t="s">
        <v>74</v>
      </c>
      <c r="F1039" t="s">
        <v>3</v>
      </c>
      <c r="G1039" t="str">
        <f>HYPERLINK("https://www.facebook.com/toyelviv/posts/pfbid02HyVHmdRrHaKvpJCV4k8sSATEQmB44tvrgpepSrJQ66Qs74jVAzPQ6qaz5ZMHUoNBl?comment_id=1549407139470562")</f>
        <v>https://www.facebook.com/toyelviv/posts/pfbid02HyVHmdRrHaKvpJCV4k8sSATEQmB44tvrgpepSrJQ66Qs74jVAzPQ6qaz5ZMHUoNBl?comment_id=1549407139470562</v>
      </c>
      <c r="H1039" t="s">
        <v>28</v>
      </c>
      <c r="I1039" t="s">
        <v>2929</v>
      </c>
      <c r="K1039" t="str">
        <f>HYPERLINK("https://www.facebook.com/100022356907307")</f>
        <v>https://www.facebook.com/100022356907307</v>
      </c>
      <c r="M1039" t="s">
        <v>30</v>
      </c>
      <c r="N1039" t="s">
        <v>31</v>
      </c>
      <c r="O1039" t="s">
        <v>1559</v>
      </c>
      <c r="P1039" t="str">
        <f>HYPERLINK("https://www.facebook.com/320892981422193")</f>
        <v>https://www.facebook.com/320892981422193</v>
      </c>
      <c r="Q1039">
        <v>293869</v>
      </c>
      <c r="R1039" t="s">
        <v>32</v>
      </c>
      <c r="S1039" t="s">
        <v>85</v>
      </c>
      <c r="T1039" t="s">
        <v>34</v>
      </c>
      <c r="U1039" t="s">
        <v>41</v>
      </c>
      <c r="V1039" t="s">
        <v>42</v>
      </c>
    </row>
    <row r="1040" spans="1:22" ht="16">
      <c r="A1040" t="s">
        <v>2300</v>
      </c>
      <c r="B1040" t="s">
        <v>2927</v>
      </c>
      <c r="C1040" t="s">
        <v>80</v>
      </c>
      <c r="D1040" t="s">
        <v>2930</v>
      </c>
      <c r="E1040" t="s">
        <v>74</v>
      </c>
      <c r="F1040" t="s">
        <v>3</v>
      </c>
      <c r="G1040" t="str">
        <f>HYPERLINK("https://www.facebook.com/permalink.php?story_fbid=pfbid02rbt51TUb57HR4F6gBd5FwSTuyaUp3gHvM6gsAExHboTPbUq2FdNvTKt3sBpRB8pml&amp;id=100006975138432&amp;comment_id=978297395372761&amp;reply_comment_id=940875041742007")</f>
        <v>https://www.facebook.com/permalink.php?story_fbid=pfbid02rbt51TUb57HR4F6gBd5FwSTuyaUp3gHvM6gsAExHboTPbUq2FdNvTKt3sBpRB8pml&amp;id=100006975138432&amp;comment_id=978297395372761&amp;reply_comment_id=940875041742007</v>
      </c>
      <c r="H1040" t="s">
        <v>28</v>
      </c>
      <c r="I1040" t="s">
        <v>2931</v>
      </c>
      <c r="K1040" t="str">
        <f>HYPERLINK("https://www.facebook.com/100007696026901")</f>
        <v>https://www.facebook.com/100007696026901</v>
      </c>
      <c r="M1040" t="s">
        <v>30</v>
      </c>
      <c r="N1040" t="s">
        <v>31</v>
      </c>
      <c r="O1040" t="s">
        <v>1399</v>
      </c>
      <c r="P1040" t="str">
        <f>HYPERLINK("https://www.facebook.com/100006975138432")</f>
        <v>https://www.facebook.com/100006975138432</v>
      </c>
      <c r="R1040" t="s">
        <v>32</v>
      </c>
      <c r="S1040" t="s">
        <v>33</v>
      </c>
      <c r="T1040" t="s">
        <v>86</v>
      </c>
      <c r="U1040" t="s">
        <v>2231</v>
      </c>
      <c r="V1040" t="s">
        <v>2231</v>
      </c>
    </row>
    <row r="1041" spans="1:20" ht="16">
      <c r="A1041" t="s">
        <v>2300</v>
      </c>
      <c r="B1041" t="s">
        <v>2927</v>
      </c>
      <c r="C1041" t="s">
        <v>24</v>
      </c>
      <c r="D1041" t="s">
        <v>2007</v>
      </c>
      <c r="E1041" t="s">
        <v>45</v>
      </c>
      <c r="F1041" t="s">
        <v>281</v>
      </c>
      <c r="G1041" t="str">
        <f>HYPERLINK("https://twitter.com/NikolayLytsuba/status/2027457985472041406")</f>
        <v>https://twitter.com/NikolayLytsuba/status/2027457985472041406</v>
      </c>
      <c r="H1041" t="s">
        <v>28</v>
      </c>
      <c r="I1041" t="s">
        <v>2932</v>
      </c>
      <c r="J1041" t="s">
        <v>2933</v>
      </c>
      <c r="K1041" t="str">
        <f>HYPERLINK("http://twitter.com/NikolayLytsuba")</f>
        <v>http://twitter.com/NikolayLytsuba</v>
      </c>
      <c r="L1041">
        <v>2360</v>
      </c>
      <c r="M1041" t="s">
        <v>40</v>
      </c>
      <c r="N1041" t="s">
        <v>278</v>
      </c>
      <c r="R1041" t="s">
        <v>32</v>
      </c>
      <c r="S1041" t="s">
        <v>33</v>
      </c>
      <c r="T1041" t="s">
        <v>34</v>
      </c>
    </row>
    <row r="1042" spans="1:22" ht="16">
      <c r="A1042" t="s">
        <v>2300</v>
      </c>
      <c r="B1042" t="s">
        <v>1109</v>
      </c>
      <c r="C1042" t="s">
        <v>80</v>
      </c>
      <c r="D1042" t="s">
        <v>2934</v>
      </c>
      <c r="E1042" t="s">
        <v>74</v>
      </c>
      <c r="F1042" t="s">
        <v>3</v>
      </c>
      <c r="G1042" t="str">
        <f>HYPERLINK("https://www.facebook.com/permalink.php?story_fbid=pfbid02rbt51TUb57HR4F6gBd5FwSTuyaUp3gHvM6gsAExHboTPbUq2FdNvTKt3sBpRB8pml&amp;id=100006975138432&amp;comment_id=4379626342253725")</f>
        <v>https://www.facebook.com/permalink.php?story_fbid=pfbid02rbt51TUb57HR4F6gBd5FwSTuyaUp3gHvM6gsAExHboTPbUq2FdNvTKt3sBpRB8pml&amp;id=100006975138432&amp;comment_id=4379626342253725</v>
      </c>
      <c r="H1042" t="s">
        <v>28</v>
      </c>
      <c r="I1042" t="s">
        <v>2935</v>
      </c>
      <c r="K1042" t="str">
        <f>HYPERLINK("https://www.facebook.com/100031389098433")</f>
        <v>https://www.facebook.com/100031389098433</v>
      </c>
      <c r="M1042" t="s">
        <v>30</v>
      </c>
      <c r="N1042" t="s">
        <v>31</v>
      </c>
      <c r="O1042" t="s">
        <v>1399</v>
      </c>
      <c r="P1042" t="str">
        <f>HYPERLINK("https://www.facebook.com/100006975138432")</f>
        <v>https://www.facebook.com/100006975138432</v>
      </c>
      <c r="R1042" t="s">
        <v>32</v>
      </c>
      <c r="S1042" t="s">
        <v>33</v>
      </c>
      <c r="T1042" t="s">
        <v>34</v>
      </c>
      <c r="U1042" t="s">
        <v>58</v>
      </c>
      <c r="V1042" t="s">
        <v>58</v>
      </c>
    </row>
    <row r="1043" spans="1:22" ht="16">
      <c r="A1043" t="s">
        <v>2300</v>
      </c>
      <c r="B1043" t="s">
        <v>1109</v>
      </c>
      <c r="C1043" t="s">
        <v>80</v>
      </c>
      <c r="D1043" t="s">
        <v>2936</v>
      </c>
      <c r="E1043" t="s">
        <v>74</v>
      </c>
      <c r="F1043" t="s">
        <v>3</v>
      </c>
      <c r="G1043" t="str">
        <f>HYPERLINK("https://www.facebook.com/westukrnews/posts/pfbid05KpJzZfAmc7DG6HMNPojmy3FDtYQBjx33JCcksAdDUDGcWNSDnn66BSqDiowXeWol?comment_id=800454399115980")</f>
        <v>https://www.facebook.com/westukrnews/posts/pfbid05KpJzZfAmc7DG6HMNPojmy3FDtYQBjx33JCcksAdDUDGcWNSDnn66BSqDiowXeWol?comment_id=800454399115980</v>
      </c>
      <c r="H1043" t="s">
        <v>28</v>
      </c>
      <c r="I1043" t="s">
        <v>2937</v>
      </c>
      <c r="K1043" t="str">
        <f>HYPERLINK("https://www.facebook.com/100043837176346")</f>
        <v>https://www.facebook.com/100043837176346</v>
      </c>
      <c r="M1043" t="s">
        <v>30</v>
      </c>
      <c r="N1043" t="s">
        <v>31</v>
      </c>
      <c r="O1043" t="s">
        <v>813</v>
      </c>
      <c r="P1043" t="str">
        <f>HYPERLINK("https://www.facebook.com/264234810584424")</f>
        <v>https://www.facebook.com/264234810584424</v>
      </c>
      <c r="Q1043">
        <v>559985</v>
      </c>
      <c r="R1043" t="s">
        <v>32</v>
      </c>
      <c r="S1043" t="s">
        <v>33</v>
      </c>
      <c r="T1043" t="s">
        <v>34</v>
      </c>
      <c r="U1043" t="s">
        <v>487</v>
      </c>
      <c r="V1043" t="s">
        <v>814</v>
      </c>
    </row>
    <row r="1044" spans="1:19" ht="16">
      <c r="A1044" t="s">
        <v>2300</v>
      </c>
      <c r="B1044" t="s">
        <v>2938</v>
      </c>
      <c r="C1044" t="s">
        <v>24</v>
      </c>
      <c r="D1044" t="s">
        <v>254</v>
      </c>
      <c r="E1044" t="s">
        <v>45</v>
      </c>
      <c r="F1044" t="s">
        <v>46</v>
      </c>
      <c r="G1044" t="str">
        <f>HYPERLINK("https://www.facebook.com/26485182364424972")</f>
        <v>https://www.facebook.com/26485182364424972</v>
      </c>
      <c r="H1044" t="s">
        <v>28</v>
      </c>
      <c r="I1044" t="s">
        <v>2939</v>
      </c>
      <c r="K1044" t="str">
        <f>HYPERLINK("https://www.facebook.com/100000797061841")</f>
        <v>https://www.facebook.com/100000797061841</v>
      </c>
      <c r="M1044" t="s">
        <v>40</v>
      </c>
      <c r="N1044" t="s">
        <v>31</v>
      </c>
      <c r="O1044" t="s">
        <v>2939</v>
      </c>
      <c r="P1044" t="str">
        <f>HYPERLINK("https://www.facebook.com/100000797061841")</f>
        <v>https://www.facebook.com/100000797061841</v>
      </c>
      <c r="R1044" t="s">
        <v>32</v>
      </c>
      <c r="S1044" t="s">
        <v>33</v>
      </c>
    </row>
    <row r="1045" spans="1:20" ht="16">
      <c r="A1045" t="s">
        <v>2300</v>
      </c>
      <c r="B1045" t="s">
        <v>2940</v>
      </c>
      <c r="C1045" t="s">
        <v>24</v>
      </c>
      <c r="D1045" t="s">
        <v>2007</v>
      </c>
      <c r="E1045" t="s">
        <v>45</v>
      </c>
      <c r="F1045" t="s">
        <v>281</v>
      </c>
      <c r="G1045" t="str">
        <f>HYPERLINK("https://twitter.com/volodimr30929/status/2027457425498927471")</f>
        <v>https://twitter.com/volodimr30929/status/2027457425498927471</v>
      </c>
      <c r="H1045" t="s">
        <v>28</v>
      </c>
      <c r="I1045" t="s">
        <v>2941</v>
      </c>
      <c r="J1045" t="s">
        <v>2942</v>
      </c>
      <c r="K1045" t="str">
        <f>HYPERLINK("http://twitter.com/volodimr30929")</f>
        <v>http://twitter.com/volodimr30929</v>
      </c>
      <c r="L1045">
        <v>1229</v>
      </c>
      <c r="M1045" t="s">
        <v>40</v>
      </c>
      <c r="N1045" t="s">
        <v>278</v>
      </c>
      <c r="R1045" t="s">
        <v>32</v>
      </c>
      <c r="S1045" t="s">
        <v>33</v>
      </c>
      <c r="T1045" t="s">
        <v>34</v>
      </c>
    </row>
    <row r="1046" spans="1:22" ht="16">
      <c r="A1046" t="s">
        <v>2300</v>
      </c>
      <c r="B1046" t="s">
        <v>2940</v>
      </c>
      <c r="C1046" t="s">
        <v>24</v>
      </c>
      <c r="D1046" t="s">
        <v>2276</v>
      </c>
      <c r="E1046" t="s">
        <v>45</v>
      </c>
      <c r="F1046" t="s">
        <v>3</v>
      </c>
      <c r="G1046" t="str">
        <f>HYPERLINK("https://twitter.com/A_Rodkin_/status/2027457396465909965")</f>
        <v>https://twitter.com/A_Rodkin_/status/2027457396465909965</v>
      </c>
      <c r="H1046" t="s">
        <v>28</v>
      </c>
      <c r="I1046" t="s">
        <v>2943</v>
      </c>
      <c r="J1046" t="s">
        <v>2944</v>
      </c>
      <c r="K1046" t="str">
        <f>HYPERLINK("http://twitter.com/A_Rodkin_")</f>
        <v>http://twitter.com/A_Rodkin_</v>
      </c>
      <c r="L1046">
        <v>54</v>
      </c>
      <c r="N1046" t="s">
        <v>278</v>
      </c>
      <c r="R1046" t="s">
        <v>32</v>
      </c>
      <c r="S1046" t="s">
        <v>33</v>
      </c>
      <c r="T1046" t="s">
        <v>34</v>
      </c>
      <c r="U1046" t="s">
        <v>235</v>
      </c>
      <c r="V1046" t="s">
        <v>236</v>
      </c>
    </row>
    <row r="1047" spans="1:20" ht="16">
      <c r="A1047" t="s">
        <v>2300</v>
      </c>
      <c r="B1047" t="s">
        <v>2940</v>
      </c>
      <c r="C1047" t="s">
        <v>24</v>
      </c>
      <c r="D1047" t="s">
        <v>2007</v>
      </c>
      <c r="E1047" t="s">
        <v>45</v>
      </c>
      <c r="F1047" t="s">
        <v>281</v>
      </c>
      <c r="G1047" t="str">
        <f>HYPERLINK("https://twitter.com/GreenChester75/status/2027457299640455606")</f>
        <v>https://twitter.com/GreenChester75/status/2027457299640455606</v>
      </c>
      <c r="H1047" t="s">
        <v>28</v>
      </c>
      <c r="I1047" t="s">
        <v>2945</v>
      </c>
      <c r="J1047" t="s">
        <v>2946</v>
      </c>
      <c r="K1047" t="str">
        <f>HYPERLINK("http://twitter.com/GreenChester75")</f>
        <v>http://twitter.com/GreenChester75</v>
      </c>
      <c r="L1047">
        <v>128</v>
      </c>
      <c r="M1047" t="s">
        <v>40</v>
      </c>
      <c r="N1047" t="s">
        <v>278</v>
      </c>
      <c r="R1047" t="s">
        <v>32</v>
      </c>
      <c r="S1047" t="s">
        <v>33</v>
      </c>
      <c r="T1047" t="s">
        <v>34</v>
      </c>
    </row>
    <row r="1048" spans="1:20" ht="16">
      <c r="A1048" t="s">
        <v>2300</v>
      </c>
      <c r="B1048" t="s">
        <v>2940</v>
      </c>
      <c r="C1048" t="s">
        <v>24</v>
      </c>
      <c r="D1048" t="s">
        <v>2276</v>
      </c>
      <c r="E1048" t="s">
        <v>45</v>
      </c>
      <c r="F1048" t="s">
        <v>3</v>
      </c>
      <c r="G1048" t="str">
        <f>HYPERLINK("https://twitter.com/GreenChester75/status/2027457243734516171")</f>
        <v>https://twitter.com/GreenChester75/status/2027457243734516171</v>
      </c>
      <c r="H1048" t="s">
        <v>28</v>
      </c>
      <c r="I1048" t="s">
        <v>2945</v>
      </c>
      <c r="J1048" t="s">
        <v>2946</v>
      </c>
      <c r="K1048" t="str">
        <f>HYPERLINK("http://twitter.com/GreenChester75")</f>
        <v>http://twitter.com/GreenChester75</v>
      </c>
      <c r="L1048">
        <v>128</v>
      </c>
      <c r="M1048" t="s">
        <v>40</v>
      </c>
      <c r="N1048" t="s">
        <v>278</v>
      </c>
      <c r="R1048" t="s">
        <v>32</v>
      </c>
      <c r="S1048" t="s">
        <v>33</v>
      </c>
      <c r="T1048" t="s">
        <v>34</v>
      </c>
    </row>
    <row r="1049" spans="1:20" ht="16">
      <c r="A1049" t="s">
        <v>2300</v>
      </c>
      <c r="B1049" t="s">
        <v>1112</v>
      </c>
      <c r="C1049" t="s">
        <v>24</v>
      </c>
      <c r="D1049" t="s">
        <v>2007</v>
      </c>
      <c r="E1049" t="s">
        <v>45</v>
      </c>
      <c r="F1049" t="s">
        <v>281</v>
      </c>
      <c r="G1049" t="str">
        <f>HYPERLINK("https://twitter.com/svitloua/status/2027457068077040034")</f>
        <v>https://twitter.com/svitloua/status/2027457068077040034</v>
      </c>
      <c r="H1049" t="s">
        <v>28</v>
      </c>
      <c r="I1049" t="s">
        <v>2947</v>
      </c>
      <c r="J1049" t="s">
        <v>2948</v>
      </c>
      <c r="K1049" t="str">
        <f>HYPERLINK("http://twitter.com/svitloua")</f>
        <v>http://twitter.com/svitloua</v>
      </c>
      <c r="L1049">
        <v>228</v>
      </c>
      <c r="N1049" t="s">
        <v>278</v>
      </c>
      <c r="R1049" t="s">
        <v>32</v>
      </c>
      <c r="S1049" t="s">
        <v>33</v>
      </c>
      <c r="T1049" t="s">
        <v>34</v>
      </c>
    </row>
    <row r="1050" spans="1:22" ht="16">
      <c r="A1050" t="s">
        <v>2300</v>
      </c>
      <c r="B1050" t="s">
        <v>1112</v>
      </c>
      <c r="C1050" t="s">
        <v>80</v>
      </c>
      <c r="D1050" t="s">
        <v>2949</v>
      </c>
      <c r="E1050" t="s">
        <v>74</v>
      </c>
      <c r="F1050" t="s">
        <v>3</v>
      </c>
      <c r="G1050" t="str">
        <f>HYPERLINK("https://www.facebook.com/westukrnews/posts/pfbid05KpJzZfAmc7DG6HMNPojmy3FDtYQBjx33JCcksAdDUDGcWNSDnn66BSqDiowXeWol?comment_id=1983778059183591")</f>
        <v>https://www.facebook.com/westukrnews/posts/pfbid05KpJzZfAmc7DG6HMNPojmy3FDtYQBjx33JCcksAdDUDGcWNSDnn66BSqDiowXeWol?comment_id=1983778059183591</v>
      </c>
      <c r="H1050" t="s">
        <v>28</v>
      </c>
      <c r="I1050" t="s">
        <v>2950</v>
      </c>
      <c r="K1050" t="str">
        <f>HYPERLINK("https://www.facebook.com/100024224090835")</f>
        <v>https://www.facebook.com/100024224090835</v>
      </c>
      <c r="M1050" t="s">
        <v>40</v>
      </c>
      <c r="N1050" t="s">
        <v>31</v>
      </c>
      <c r="O1050" t="s">
        <v>813</v>
      </c>
      <c r="P1050" t="str">
        <f>HYPERLINK("https://www.facebook.com/264234810584424")</f>
        <v>https://www.facebook.com/264234810584424</v>
      </c>
      <c r="Q1050">
        <v>559985</v>
      </c>
      <c r="R1050" t="s">
        <v>32</v>
      </c>
      <c r="S1050" t="s">
        <v>85</v>
      </c>
      <c r="T1050" t="s">
        <v>34</v>
      </c>
      <c r="U1050" t="s">
        <v>58</v>
      </c>
      <c r="V1050" t="s">
        <v>58</v>
      </c>
    </row>
    <row r="1051" spans="1:22" ht="16">
      <c r="A1051" t="s">
        <v>2300</v>
      </c>
      <c r="B1051" t="s">
        <v>184</v>
      </c>
      <c r="C1051" t="s">
        <v>80</v>
      </c>
      <c r="D1051" t="s">
        <v>2951</v>
      </c>
      <c r="E1051" t="s">
        <v>74</v>
      </c>
      <c r="F1051" t="s">
        <v>3</v>
      </c>
      <c r="G1051" t="str">
        <f>HYPERLINK("https://www.facebook.com/permalink.php?story_fbid=pfbid02rbt51TUb57HR4F6gBd5FwSTuyaUp3gHvM6gsAExHboTPbUq2FdNvTKt3sBpRB8pml&amp;id=100006975138432&amp;comment_id=818657387915100")</f>
        <v>https://www.facebook.com/permalink.php?story_fbid=pfbid02rbt51TUb57HR4F6gBd5FwSTuyaUp3gHvM6gsAExHboTPbUq2FdNvTKt3sBpRB8pml&amp;id=100006975138432&amp;comment_id=818657387915100</v>
      </c>
      <c r="H1051" t="s">
        <v>28</v>
      </c>
      <c r="I1051" t="s">
        <v>2952</v>
      </c>
      <c r="K1051" t="str">
        <f>HYPERLINK("https://www.facebook.com/100004822937859")</f>
        <v>https://www.facebook.com/100004822937859</v>
      </c>
      <c r="L1051">
        <v>234</v>
      </c>
      <c r="M1051" t="s">
        <v>30</v>
      </c>
      <c r="N1051" t="s">
        <v>31</v>
      </c>
      <c r="O1051" t="s">
        <v>1399</v>
      </c>
      <c r="P1051" t="str">
        <f>HYPERLINK("https://www.facebook.com/100006975138432")</f>
        <v>https://www.facebook.com/100006975138432</v>
      </c>
      <c r="R1051" t="s">
        <v>32</v>
      </c>
      <c r="S1051" t="s">
        <v>33</v>
      </c>
      <c r="T1051" t="s">
        <v>34</v>
      </c>
      <c r="U1051" t="s">
        <v>408</v>
      </c>
      <c r="V1051" t="s">
        <v>2953</v>
      </c>
    </row>
    <row r="1052" spans="1:20" ht="16">
      <c r="A1052" t="s">
        <v>2300</v>
      </c>
      <c r="B1052" t="s">
        <v>184</v>
      </c>
      <c r="C1052" t="s">
        <v>24</v>
      </c>
      <c r="D1052" t="s">
        <v>2007</v>
      </c>
      <c r="E1052" t="s">
        <v>45</v>
      </c>
      <c r="F1052" t="s">
        <v>281</v>
      </c>
      <c r="G1052" t="str">
        <f>HYPERLINK("https://twitter.com/kwwonline/status/2027456832868843811")</f>
        <v>https://twitter.com/kwwonline/status/2027456832868843811</v>
      </c>
      <c r="H1052" t="s">
        <v>28</v>
      </c>
      <c r="I1052" t="s">
        <v>2954</v>
      </c>
      <c r="J1052" t="s">
        <v>2955</v>
      </c>
      <c r="K1052" t="str">
        <f>HYPERLINK("http://twitter.com/kwwonline")</f>
        <v>http://twitter.com/kwwonline</v>
      </c>
      <c r="L1052">
        <v>33</v>
      </c>
      <c r="N1052" t="s">
        <v>278</v>
      </c>
      <c r="R1052" t="s">
        <v>32</v>
      </c>
      <c r="S1052" t="s">
        <v>33</v>
      </c>
      <c r="T1052" t="s">
        <v>34</v>
      </c>
    </row>
    <row r="1053" spans="1:22" ht="16">
      <c r="A1053" t="s">
        <v>2300</v>
      </c>
      <c r="B1053" t="s">
        <v>184</v>
      </c>
      <c r="C1053" t="s">
        <v>80</v>
      </c>
      <c r="D1053" t="s">
        <v>2956</v>
      </c>
      <c r="E1053" t="s">
        <v>74</v>
      </c>
      <c r="F1053" t="s">
        <v>3</v>
      </c>
      <c r="G1053" t="str">
        <f>HYPERLINK("https://www.facebook.com/westukrnews/posts/pfbid05KpJzZfAmc7DG6HMNPojmy3FDtYQBjx33JCcksAdDUDGcWNSDnn66BSqDiowXeWol?comment_id=2129408530932211")</f>
        <v>https://www.facebook.com/westukrnews/posts/pfbid05KpJzZfAmc7DG6HMNPojmy3FDtYQBjx33JCcksAdDUDGcWNSDnn66BSqDiowXeWol?comment_id=2129408530932211</v>
      </c>
      <c r="H1053" t="s">
        <v>28</v>
      </c>
      <c r="I1053" t="s">
        <v>2957</v>
      </c>
      <c r="K1053" t="str">
        <f>HYPERLINK("https://www.facebook.com/61557098552736")</f>
        <v>https://www.facebook.com/61557098552736</v>
      </c>
      <c r="M1053" t="s">
        <v>30</v>
      </c>
      <c r="N1053" t="s">
        <v>31</v>
      </c>
      <c r="O1053" t="s">
        <v>813</v>
      </c>
      <c r="P1053" t="str">
        <f>HYPERLINK("https://www.facebook.com/264234810584424")</f>
        <v>https://www.facebook.com/264234810584424</v>
      </c>
      <c r="Q1053">
        <v>559985</v>
      </c>
      <c r="R1053" t="s">
        <v>32</v>
      </c>
      <c r="S1053" t="s">
        <v>33</v>
      </c>
      <c r="T1053" t="s">
        <v>34</v>
      </c>
      <c r="U1053" t="s">
        <v>487</v>
      </c>
      <c r="V1053" t="s">
        <v>814</v>
      </c>
    </row>
    <row r="1054" spans="1:22" ht="16">
      <c r="A1054" t="s">
        <v>2300</v>
      </c>
      <c r="B1054" t="s">
        <v>184</v>
      </c>
      <c r="C1054" t="s">
        <v>80</v>
      </c>
      <c r="D1054" t="s">
        <v>2958</v>
      </c>
      <c r="E1054" t="s">
        <v>74</v>
      </c>
      <c r="F1054" t="s">
        <v>3</v>
      </c>
      <c r="G1054" t="str">
        <f>HYPERLINK("https://www.facebook.com/westukrnews/posts/pfbid05KpJzZfAmc7DG6HMNPojmy3FDtYQBjx33JCcksAdDUDGcWNSDnn66BSqDiowXeWol?comment_id=1212915694257974")</f>
        <v>https://www.facebook.com/westukrnews/posts/pfbid05KpJzZfAmc7DG6HMNPojmy3FDtYQBjx33JCcksAdDUDGcWNSDnn66BSqDiowXeWol?comment_id=1212915694257974</v>
      </c>
      <c r="H1054" t="s">
        <v>28</v>
      </c>
      <c r="I1054" t="s">
        <v>2959</v>
      </c>
      <c r="J1054" t="s">
        <v>2960</v>
      </c>
      <c r="K1054" t="str">
        <f>HYPERLINK("https://www.facebook.com/100024949246407")</f>
        <v>https://www.facebook.com/100024949246407</v>
      </c>
      <c r="M1054" t="s">
        <v>40</v>
      </c>
      <c r="N1054" t="s">
        <v>31</v>
      </c>
      <c r="O1054" t="s">
        <v>813</v>
      </c>
      <c r="P1054" t="str">
        <f>HYPERLINK("https://www.facebook.com/264234810584424")</f>
        <v>https://www.facebook.com/264234810584424</v>
      </c>
      <c r="Q1054">
        <v>559985</v>
      </c>
      <c r="R1054" t="s">
        <v>32</v>
      </c>
      <c r="S1054" t="s">
        <v>33</v>
      </c>
      <c r="T1054" t="s">
        <v>34</v>
      </c>
      <c r="U1054" t="s">
        <v>167</v>
      </c>
      <c r="V1054" t="s">
        <v>752</v>
      </c>
    </row>
    <row r="1055" spans="1:22" ht="16">
      <c r="A1055" t="s">
        <v>2300</v>
      </c>
      <c r="B1055" t="s">
        <v>2961</v>
      </c>
      <c r="C1055" t="s">
        <v>80</v>
      </c>
      <c r="D1055" t="s">
        <v>2962</v>
      </c>
      <c r="E1055" t="s">
        <v>74</v>
      </c>
      <c r="F1055" t="s">
        <v>3</v>
      </c>
      <c r="G1055" t="str">
        <f>HYPERLINK("https://www.facebook.com/westukrnews/posts/pfbid05KpJzZfAmc7DG6HMNPojmy3FDtYQBjx33JCcksAdDUDGcWNSDnn66BSqDiowXeWol?comment_id=1884894876235211")</f>
        <v>https://www.facebook.com/westukrnews/posts/pfbid05KpJzZfAmc7DG6HMNPojmy3FDtYQBjx33JCcksAdDUDGcWNSDnn66BSqDiowXeWol?comment_id=1884894876235211</v>
      </c>
      <c r="H1055" t="s">
        <v>28</v>
      </c>
      <c r="I1055" t="s">
        <v>2963</v>
      </c>
      <c r="J1055" t="s">
        <v>2964</v>
      </c>
      <c r="K1055" t="str">
        <f>HYPERLINK("https://www.facebook.com/100003813608239")</f>
        <v>https://www.facebook.com/100003813608239</v>
      </c>
      <c r="M1055" t="s">
        <v>40</v>
      </c>
      <c r="N1055" t="s">
        <v>31</v>
      </c>
      <c r="O1055" t="s">
        <v>813</v>
      </c>
      <c r="P1055" t="str">
        <f>HYPERLINK("https://www.facebook.com/264234810584424")</f>
        <v>https://www.facebook.com/264234810584424</v>
      </c>
      <c r="Q1055">
        <v>559985</v>
      </c>
      <c r="R1055" t="s">
        <v>32</v>
      </c>
      <c r="S1055" t="s">
        <v>85</v>
      </c>
      <c r="T1055" t="s">
        <v>117</v>
      </c>
      <c r="U1055" t="s">
        <v>2017</v>
      </c>
      <c r="V1055" t="s">
        <v>2965</v>
      </c>
    </row>
    <row r="1056" spans="1:20" ht="16">
      <c r="A1056" t="s">
        <v>2300</v>
      </c>
      <c r="B1056" t="s">
        <v>2966</v>
      </c>
      <c r="C1056" t="s">
        <v>24</v>
      </c>
      <c r="D1056" t="s">
        <v>2007</v>
      </c>
      <c r="E1056" t="s">
        <v>45</v>
      </c>
      <c r="F1056" t="s">
        <v>281</v>
      </c>
      <c r="G1056" t="str">
        <f>HYPERLINK("https://twitter.com/KidArrogant/status/2027456372615372968")</f>
        <v>https://twitter.com/KidArrogant/status/2027456372615372968</v>
      </c>
      <c r="H1056" t="s">
        <v>28</v>
      </c>
      <c r="I1056" t="s">
        <v>2967</v>
      </c>
      <c r="J1056" t="s">
        <v>2968</v>
      </c>
      <c r="K1056" t="str">
        <f>HYPERLINK("http://twitter.com/KidArrogant")</f>
        <v>http://twitter.com/KidArrogant</v>
      </c>
      <c r="L1056">
        <v>204</v>
      </c>
      <c r="M1056" t="s">
        <v>40</v>
      </c>
      <c r="N1056" t="s">
        <v>278</v>
      </c>
      <c r="R1056" t="s">
        <v>32</v>
      </c>
      <c r="S1056" t="s">
        <v>33</v>
      </c>
      <c r="T1056" t="s">
        <v>179</v>
      </c>
    </row>
    <row r="1057" spans="1:22" ht="16">
      <c r="A1057" t="s">
        <v>2300</v>
      </c>
      <c r="B1057" t="s">
        <v>2966</v>
      </c>
      <c r="C1057" t="s">
        <v>80</v>
      </c>
      <c r="D1057" t="s">
        <v>2969</v>
      </c>
      <c r="E1057" t="s">
        <v>74</v>
      </c>
      <c r="F1057" t="s">
        <v>3</v>
      </c>
      <c r="G1057" t="str">
        <f>HYPERLINK("https://www.facebook.com/westukrnews/posts/pfbid05KpJzZfAmc7DG6HMNPojmy3FDtYQBjx33JCcksAdDUDGcWNSDnn66BSqDiowXeWol?comment_id=3424564244380288")</f>
        <v>https://www.facebook.com/westukrnews/posts/pfbid05KpJzZfAmc7DG6HMNPojmy3FDtYQBjx33JCcksAdDUDGcWNSDnn66BSqDiowXeWol?comment_id=3424564244380288</v>
      </c>
      <c r="H1057" t="s">
        <v>28</v>
      </c>
      <c r="I1057" t="s">
        <v>2970</v>
      </c>
      <c r="K1057" t="str">
        <f>HYPERLINK("https://www.facebook.com/100026695122655")</f>
        <v>https://www.facebook.com/100026695122655</v>
      </c>
      <c r="M1057" t="s">
        <v>30</v>
      </c>
      <c r="N1057" t="s">
        <v>31</v>
      </c>
      <c r="O1057" t="s">
        <v>813</v>
      </c>
      <c r="P1057" t="str">
        <f>HYPERLINK("https://www.facebook.com/264234810584424")</f>
        <v>https://www.facebook.com/264234810584424</v>
      </c>
      <c r="Q1057">
        <v>559985</v>
      </c>
      <c r="R1057" t="s">
        <v>32</v>
      </c>
      <c r="S1057" t="s">
        <v>85</v>
      </c>
      <c r="T1057" t="s">
        <v>34</v>
      </c>
      <c r="U1057" t="s">
        <v>487</v>
      </c>
      <c r="V1057" t="s">
        <v>814</v>
      </c>
    </row>
    <row r="1058" spans="1:20" ht="16">
      <c r="A1058" t="s">
        <v>2300</v>
      </c>
      <c r="B1058" t="s">
        <v>2966</v>
      </c>
      <c r="C1058" t="s">
        <v>24</v>
      </c>
      <c r="D1058" t="s">
        <v>2007</v>
      </c>
      <c r="E1058" t="s">
        <v>45</v>
      </c>
      <c r="F1058" t="s">
        <v>281</v>
      </c>
      <c r="G1058" t="str">
        <f>HYPERLINK("https://twitter.com/Vilintritenmert/status/2027456202632765542")</f>
        <v>https://twitter.com/Vilintritenmert/status/2027456202632765542</v>
      </c>
      <c r="H1058" t="s">
        <v>28</v>
      </c>
      <c r="I1058" t="s">
        <v>2971</v>
      </c>
      <c r="J1058" t="s">
        <v>2972</v>
      </c>
      <c r="K1058" t="str">
        <f>HYPERLINK("http://twitter.com/Vilintritenmert")</f>
        <v>http://twitter.com/Vilintritenmert</v>
      </c>
      <c r="L1058">
        <v>244</v>
      </c>
      <c r="M1058" t="s">
        <v>40</v>
      </c>
      <c r="N1058" t="s">
        <v>278</v>
      </c>
      <c r="R1058" t="s">
        <v>32</v>
      </c>
      <c r="S1058" t="s">
        <v>33</v>
      </c>
      <c r="T1058" t="s">
        <v>34</v>
      </c>
    </row>
    <row r="1059" spans="1:20" ht="16">
      <c r="A1059" t="s">
        <v>2300</v>
      </c>
      <c r="B1059" t="s">
        <v>2973</v>
      </c>
      <c r="C1059" t="s">
        <v>768</v>
      </c>
      <c r="D1059" t="s">
        <v>2974</v>
      </c>
      <c r="E1059" t="s">
        <v>74</v>
      </c>
      <c r="F1059" t="s">
        <v>3</v>
      </c>
      <c r="G1059" t="str">
        <f>HYPERLINK("https://www.facebook.com/toyelviv/posts/pfbid02HyVHmdRrHaKvpJCV4k8sSATEQmB44tvrgpepSrJQ66Qs74jVAzPQ6qaz5ZMHUoNBl?comment_id=1537099785091455")</f>
        <v>https://www.facebook.com/toyelviv/posts/pfbid02HyVHmdRrHaKvpJCV4k8sSATEQmB44tvrgpepSrJQ66Qs74jVAzPQ6qaz5ZMHUoNBl?comment_id=1537099785091455</v>
      </c>
      <c r="H1059" t="s">
        <v>28</v>
      </c>
      <c r="I1059" t="s">
        <v>2706</v>
      </c>
      <c r="K1059" t="str">
        <f>HYPERLINK("https://www.facebook.com/100005027107614")</f>
        <v>https://www.facebook.com/100005027107614</v>
      </c>
      <c r="M1059" t="s">
        <v>40</v>
      </c>
      <c r="N1059" t="s">
        <v>31</v>
      </c>
      <c r="O1059" t="s">
        <v>1559</v>
      </c>
      <c r="P1059" t="str">
        <f>HYPERLINK("https://www.facebook.com/320892981422193")</f>
        <v>https://www.facebook.com/320892981422193</v>
      </c>
      <c r="Q1059">
        <v>293869</v>
      </c>
      <c r="R1059" t="s">
        <v>32</v>
      </c>
      <c r="S1059" t="s">
        <v>33</v>
      </c>
      <c r="T1059" t="s">
        <v>34</v>
      </c>
    </row>
    <row r="1060" spans="1:22" ht="16">
      <c r="A1060" t="s">
        <v>2300</v>
      </c>
      <c r="B1060" t="s">
        <v>1116</v>
      </c>
      <c r="C1060" t="s">
        <v>24</v>
      </c>
      <c r="D1060" t="s">
        <v>2007</v>
      </c>
      <c r="E1060" t="s">
        <v>45</v>
      </c>
      <c r="F1060" t="s">
        <v>281</v>
      </c>
      <c r="G1060" t="str">
        <f>HYPERLINK("https://twitter.com/LianiVelasquez/status/2027455564083523636")</f>
        <v>https://twitter.com/LianiVelasquez/status/2027455564083523636</v>
      </c>
      <c r="H1060" t="s">
        <v>28</v>
      </c>
      <c r="I1060" t="s">
        <v>2975</v>
      </c>
      <c r="J1060" t="s">
        <v>2976</v>
      </c>
      <c r="K1060" t="str">
        <f>HYPERLINK("http://twitter.com/LianiVelasquez")</f>
        <v>http://twitter.com/LianiVelasquez</v>
      </c>
      <c r="L1060">
        <v>249</v>
      </c>
      <c r="N1060" t="s">
        <v>278</v>
      </c>
      <c r="R1060" t="s">
        <v>32</v>
      </c>
      <c r="S1060" t="s">
        <v>33</v>
      </c>
      <c r="T1060" t="s">
        <v>34</v>
      </c>
      <c r="U1060" t="s">
        <v>58</v>
      </c>
      <c r="V1060" t="s">
        <v>58</v>
      </c>
    </row>
    <row r="1061" spans="1:22" ht="16">
      <c r="A1061" t="s">
        <v>2300</v>
      </c>
      <c r="B1061" t="s">
        <v>1116</v>
      </c>
      <c r="C1061" t="s">
        <v>24</v>
      </c>
      <c r="D1061" t="s">
        <v>2977</v>
      </c>
      <c r="E1061" t="s">
        <v>101</v>
      </c>
      <c r="F1061" t="s">
        <v>46</v>
      </c>
      <c r="G1061" t="str">
        <f>HYPERLINK("https://www.facebook.com/2227882827745964")</f>
        <v>https://www.facebook.com/2227882827745964</v>
      </c>
      <c r="H1061" t="s">
        <v>28</v>
      </c>
      <c r="I1061" t="s">
        <v>2978</v>
      </c>
      <c r="K1061" t="str">
        <f>HYPERLINK("https://www.facebook.com/100015728044967")</f>
        <v>https://www.facebook.com/100015728044967</v>
      </c>
      <c r="M1061" t="s">
        <v>30</v>
      </c>
      <c r="N1061" t="s">
        <v>31</v>
      </c>
      <c r="O1061" t="s">
        <v>2978</v>
      </c>
      <c r="P1061" t="str">
        <f>HYPERLINK("https://www.facebook.com/100015728044967")</f>
        <v>https://www.facebook.com/100015728044967</v>
      </c>
      <c r="R1061" t="s">
        <v>32</v>
      </c>
      <c r="S1061" t="s">
        <v>33</v>
      </c>
      <c r="T1061" t="s">
        <v>34</v>
      </c>
      <c r="U1061" t="s">
        <v>1685</v>
      </c>
      <c r="V1061" t="s">
        <v>1686</v>
      </c>
    </row>
    <row r="1062" spans="1:22" ht="16">
      <c r="A1062" t="s">
        <v>2300</v>
      </c>
      <c r="B1062" t="s">
        <v>1116</v>
      </c>
      <c r="C1062" t="s">
        <v>80</v>
      </c>
      <c r="D1062" t="s">
        <v>2979</v>
      </c>
      <c r="E1062" t="s">
        <v>74</v>
      </c>
      <c r="F1062" t="s">
        <v>3</v>
      </c>
      <c r="G1062" t="str">
        <f>HYPERLINK("https://www.facebook.com/permalink.php?story_fbid=pfbid02rbt51TUb57HR4F6gBd5FwSTuyaUp3gHvM6gsAExHboTPbUq2FdNvTKt3sBpRB8pml&amp;id=100006975138432&amp;comment_id=908579218540167")</f>
        <v>https://www.facebook.com/permalink.php?story_fbid=pfbid02rbt51TUb57HR4F6gBd5FwSTuyaUp3gHvM6gsAExHboTPbUq2FdNvTKt3sBpRB8pml&amp;id=100006975138432&amp;comment_id=908579218540167</v>
      </c>
      <c r="H1062" t="s">
        <v>28</v>
      </c>
      <c r="I1062" t="s">
        <v>154</v>
      </c>
      <c r="K1062" t="str">
        <f>HYPERLINK("https://www.facebook.com/100009825458638")</f>
        <v>https://www.facebook.com/100009825458638</v>
      </c>
      <c r="M1062" t="s">
        <v>40</v>
      </c>
      <c r="N1062" t="s">
        <v>31</v>
      </c>
      <c r="O1062" t="s">
        <v>1399</v>
      </c>
      <c r="P1062" t="str">
        <f>HYPERLINK("https://www.facebook.com/100006975138432")</f>
        <v>https://www.facebook.com/100006975138432</v>
      </c>
      <c r="R1062" t="s">
        <v>32</v>
      </c>
      <c r="S1062" t="s">
        <v>33</v>
      </c>
      <c r="T1062" t="s">
        <v>34</v>
      </c>
      <c r="U1062" t="s">
        <v>2155</v>
      </c>
      <c r="V1062" t="s">
        <v>2862</v>
      </c>
    </row>
    <row r="1063" spans="1:22" ht="16">
      <c r="A1063" t="s">
        <v>2300</v>
      </c>
      <c r="B1063" t="s">
        <v>2980</v>
      </c>
      <c r="C1063" t="s">
        <v>72</v>
      </c>
      <c r="D1063" t="s">
        <v>2981</v>
      </c>
      <c r="E1063" t="s">
        <v>74</v>
      </c>
      <c r="F1063" t="s">
        <v>3</v>
      </c>
      <c r="G1063" t="str">
        <f>HYPERLINK("https://www.facebook.com/antonov.vs/posts/pfbid0WoDA925DuzoodzbS7V28bt4ds9TmfsHEXjvxieTXWzQ3cuc53piJ6r5PvYjhKEdjl?comment_id=1455216009950932")</f>
        <v>https://www.facebook.com/antonov.vs/posts/pfbid0WoDA925DuzoodzbS7V28bt4ds9TmfsHEXjvxieTXWzQ3cuc53piJ6r5PvYjhKEdjl?comment_id=1455216009950932</v>
      </c>
      <c r="H1063" t="s">
        <v>28</v>
      </c>
      <c r="I1063" t="s">
        <v>2982</v>
      </c>
      <c r="K1063" t="str">
        <f>HYPERLINK("https://www.facebook.com/100044402720288")</f>
        <v>https://www.facebook.com/100044402720288</v>
      </c>
      <c r="M1063" t="s">
        <v>30</v>
      </c>
      <c r="N1063" t="s">
        <v>31</v>
      </c>
      <c r="O1063" t="s">
        <v>1127</v>
      </c>
      <c r="P1063" t="str">
        <f>HYPERLINK("https://www.facebook.com/100002292546539")</f>
        <v>https://www.facebook.com/100002292546539</v>
      </c>
      <c r="Q1063">
        <v>485</v>
      </c>
      <c r="R1063" t="s">
        <v>32</v>
      </c>
      <c r="S1063" t="s">
        <v>85</v>
      </c>
      <c r="T1063" t="s">
        <v>34</v>
      </c>
      <c r="U1063" t="s">
        <v>1308</v>
      </c>
      <c r="V1063" t="s">
        <v>1309</v>
      </c>
    </row>
    <row r="1064" spans="1:22" ht="16">
      <c r="A1064" t="s">
        <v>2300</v>
      </c>
      <c r="B1064" t="s">
        <v>1121</v>
      </c>
      <c r="C1064" t="s">
        <v>24</v>
      </c>
      <c r="D1064" t="s">
        <v>49</v>
      </c>
      <c r="E1064" t="s">
        <v>45</v>
      </c>
      <c r="F1064" t="s">
        <v>46</v>
      </c>
      <c r="G1064" t="str">
        <f>HYPERLINK("https://www.facebook.com/4467809783543673")</f>
        <v>https://www.facebook.com/4467809783543673</v>
      </c>
      <c r="H1064" t="s">
        <v>28</v>
      </c>
      <c r="I1064" t="s">
        <v>2983</v>
      </c>
      <c r="J1064" t="s">
        <v>2984</v>
      </c>
      <c r="K1064" t="str">
        <f>HYPERLINK("https://www.facebook.com/100009440863966")</f>
        <v>https://www.facebook.com/100009440863966</v>
      </c>
      <c r="M1064" t="s">
        <v>30</v>
      </c>
      <c r="N1064" t="s">
        <v>31</v>
      </c>
      <c r="O1064" t="s">
        <v>2983</v>
      </c>
      <c r="P1064" t="str">
        <f>HYPERLINK("https://www.facebook.com/100009440863966")</f>
        <v>https://www.facebook.com/100009440863966</v>
      </c>
      <c r="R1064" t="s">
        <v>32</v>
      </c>
      <c r="S1064" t="s">
        <v>33</v>
      </c>
      <c r="T1064" t="s">
        <v>92</v>
      </c>
      <c r="U1064" t="s">
        <v>2985</v>
      </c>
      <c r="V1064" t="s">
        <v>2986</v>
      </c>
    </row>
    <row r="1065" spans="1:19" ht="16">
      <c r="A1065" t="s">
        <v>2300</v>
      </c>
      <c r="B1065" t="s">
        <v>1121</v>
      </c>
      <c r="C1065" t="s">
        <v>24</v>
      </c>
      <c r="D1065" t="s">
        <v>2497</v>
      </c>
      <c r="E1065" t="s">
        <v>45</v>
      </c>
      <c r="F1065" t="s">
        <v>46</v>
      </c>
      <c r="G1065" t="str">
        <f>HYPERLINK("https://www.facebook.com/34112550001727013")</f>
        <v>https://www.facebook.com/34112550001727013</v>
      </c>
      <c r="H1065" t="s">
        <v>28</v>
      </c>
      <c r="I1065" t="s">
        <v>2987</v>
      </c>
      <c r="J1065" t="s">
        <v>2988</v>
      </c>
      <c r="K1065" t="str">
        <f>HYPERLINK("https://www.facebook.com/100001963481746")</f>
        <v>https://www.facebook.com/100001963481746</v>
      </c>
      <c r="L1065">
        <v>6</v>
      </c>
      <c r="M1065" t="s">
        <v>30</v>
      </c>
      <c r="N1065" t="s">
        <v>31</v>
      </c>
      <c r="O1065" t="s">
        <v>2987</v>
      </c>
      <c r="P1065" t="str">
        <f>HYPERLINK("https://www.facebook.com/100001963481746")</f>
        <v>https://www.facebook.com/100001963481746</v>
      </c>
      <c r="Q1065">
        <v>6</v>
      </c>
      <c r="R1065" t="s">
        <v>32</v>
      </c>
      <c r="S1065" t="s">
        <v>33</v>
      </c>
    </row>
    <row r="1066" spans="1:22" ht="16">
      <c r="A1066" t="s">
        <v>2300</v>
      </c>
      <c r="B1066" t="s">
        <v>1124</v>
      </c>
      <c r="C1066" t="s">
        <v>24</v>
      </c>
      <c r="D1066" t="s">
        <v>254</v>
      </c>
      <c r="E1066" t="s">
        <v>26</v>
      </c>
      <c r="F1066" t="s">
        <v>46</v>
      </c>
      <c r="G1066" t="str">
        <f>HYPERLINK("https://www.facebook.com/1369790115182151")</f>
        <v>https://www.facebook.com/1369790115182151</v>
      </c>
      <c r="H1066" t="s">
        <v>28</v>
      </c>
      <c r="I1066" t="s">
        <v>813</v>
      </c>
      <c r="K1066" t="str">
        <f>HYPERLINK("https://www.facebook.com/264234810584424")</f>
        <v>https://www.facebook.com/264234810584424</v>
      </c>
      <c r="L1066">
        <v>559985</v>
      </c>
      <c r="M1066" t="s">
        <v>345</v>
      </c>
      <c r="N1066" t="s">
        <v>31</v>
      </c>
      <c r="O1066" t="s">
        <v>813</v>
      </c>
      <c r="P1066" t="str">
        <f>HYPERLINK("https://www.facebook.com/264234810584424")</f>
        <v>https://www.facebook.com/264234810584424</v>
      </c>
      <c r="Q1066">
        <v>559985</v>
      </c>
      <c r="R1066" t="s">
        <v>32</v>
      </c>
      <c r="S1066" t="s">
        <v>33</v>
      </c>
      <c r="T1066" t="s">
        <v>34</v>
      </c>
      <c r="U1066" t="s">
        <v>487</v>
      </c>
      <c r="V1066" t="s">
        <v>814</v>
      </c>
    </row>
    <row r="1067" spans="1:20" ht="16">
      <c r="A1067" t="s">
        <v>2300</v>
      </c>
      <c r="B1067" t="s">
        <v>1130</v>
      </c>
      <c r="C1067" t="s">
        <v>24</v>
      </c>
      <c r="D1067" t="s">
        <v>2007</v>
      </c>
      <c r="E1067" t="s">
        <v>45</v>
      </c>
      <c r="F1067" t="s">
        <v>281</v>
      </c>
      <c r="G1067" t="str">
        <f>HYPERLINK("https://twitter.com/ser_373/status/2027454333613195759")</f>
        <v>https://twitter.com/ser_373/status/2027454333613195759</v>
      </c>
      <c r="H1067" t="s">
        <v>28</v>
      </c>
      <c r="I1067" t="s">
        <v>2989</v>
      </c>
      <c r="J1067" t="s">
        <v>2990</v>
      </c>
      <c r="K1067" t="str">
        <f>HYPERLINK("http://twitter.com/ser_373")</f>
        <v>http://twitter.com/ser_373</v>
      </c>
      <c r="L1067">
        <v>5719</v>
      </c>
      <c r="N1067" t="s">
        <v>278</v>
      </c>
      <c r="R1067" t="s">
        <v>32</v>
      </c>
      <c r="S1067" t="s">
        <v>33</v>
      </c>
      <c r="T1067" t="s">
        <v>34</v>
      </c>
    </row>
    <row r="1068" spans="1:20" ht="16">
      <c r="A1068" t="s">
        <v>2300</v>
      </c>
      <c r="B1068" t="s">
        <v>1130</v>
      </c>
      <c r="C1068" t="s">
        <v>24</v>
      </c>
      <c r="D1068" t="s">
        <v>2276</v>
      </c>
      <c r="E1068" t="s">
        <v>45</v>
      </c>
      <c r="F1068" t="s">
        <v>3</v>
      </c>
      <c r="G1068" t="str">
        <f>HYPERLINK("https://twitter.com/leonidamos777/status/2027454306719354938")</f>
        <v>https://twitter.com/leonidamos777/status/2027454306719354938</v>
      </c>
      <c r="H1068" t="s">
        <v>28</v>
      </c>
      <c r="I1068" t="s">
        <v>2991</v>
      </c>
      <c r="J1068" t="s">
        <v>2992</v>
      </c>
      <c r="K1068" t="str">
        <f>HYPERLINK("http://twitter.com/leonidamos777")</f>
        <v>http://twitter.com/leonidamos777</v>
      </c>
      <c r="L1068">
        <v>3014</v>
      </c>
      <c r="N1068" t="s">
        <v>278</v>
      </c>
      <c r="R1068" t="s">
        <v>32</v>
      </c>
      <c r="S1068" t="s">
        <v>33</v>
      </c>
      <c r="T1068" t="s">
        <v>34</v>
      </c>
    </row>
    <row r="1069" spans="1:20" ht="16">
      <c r="A1069" t="s">
        <v>2300</v>
      </c>
      <c r="B1069" t="s">
        <v>190</v>
      </c>
      <c r="C1069" t="s">
        <v>24</v>
      </c>
      <c r="D1069" t="s">
        <v>2007</v>
      </c>
      <c r="E1069" t="s">
        <v>45</v>
      </c>
      <c r="F1069" t="s">
        <v>281</v>
      </c>
      <c r="G1069" t="str">
        <f>HYPERLINK("https://twitter.com/DeerMachinery/status/2027454084685451728")</f>
        <v>https://twitter.com/DeerMachinery/status/2027454084685451728</v>
      </c>
      <c r="H1069" t="s">
        <v>28</v>
      </c>
      <c r="I1069" t="s">
        <v>2993</v>
      </c>
      <c r="J1069" t="s">
        <v>2994</v>
      </c>
      <c r="K1069" t="str">
        <f>HYPERLINK("http://twitter.com/DeerMachinery")</f>
        <v>http://twitter.com/DeerMachinery</v>
      </c>
      <c r="L1069">
        <v>1037</v>
      </c>
      <c r="N1069" t="s">
        <v>278</v>
      </c>
      <c r="R1069" t="s">
        <v>32</v>
      </c>
      <c r="S1069" t="s">
        <v>33</v>
      </c>
      <c r="T1069" t="s">
        <v>2735</v>
      </c>
    </row>
    <row r="1070" spans="1:20" ht="16">
      <c r="A1070" t="s">
        <v>2300</v>
      </c>
      <c r="B1070" t="s">
        <v>2995</v>
      </c>
      <c r="C1070" t="s">
        <v>768</v>
      </c>
      <c r="D1070" t="s">
        <v>2996</v>
      </c>
      <c r="E1070" t="s">
        <v>74</v>
      </c>
      <c r="F1070" t="s">
        <v>3</v>
      </c>
      <c r="G1070" t="str">
        <f>HYPERLINK("https://www.facebook.com/toyelviv/posts/pfbid02HyVHmdRrHaKvpJCV4k8sSATEQmB44tvrgpepSrJQ66Qs74jVAzPQ6qaz5ZMHUoNBl?comment_id=928153846269230")</f>
        <v>https://www.facebook.com/toyelviv/posts/pfbid02HyVHmdRrHaKvpJCV4k8sSATEQmB44tvrgpepSrJQ66Qs74jVAzPQ6qaz5ZMHUoNBl?comment_id=928153846269230</v>
      </c>
      <c r="H1070" t="s">
        <v>28</v>
      </c>
      <c r="I1070" t="s">
        <v>2997</v>
      </c>
      <c r="K1070" t="str">
        <f>HYPERLINK("https://www.facebook.com/100060803095997")</f>
        <v>https://www.facebook.com/100060803095997</v>
      </c>
      <c r="M1070" t="s">
        <v>30</v>
      </c>
      <c r="N1070" t="s">
        <v>31</v>
      </c>
      <c r="O1070" t="s">
        <v>1559</v>
      </c>
      <c r="P1070" t="str">
        <f>HYPERLINK("https://www.facebook.com/320892981422193")</f>
        <v>https://www.facebook.com/320892981422193</v>
      </c>
      <c r="Q1070">
        <v>293869</v>
      </c>
      <c r="R1070" t="s">
        <v>32</v>
      </c>
      <c r="S1070" t="s">
        <v>33</v>
      </c>
      <c r="T1070" t="s">
        <v>34</v>
      </c>
    </row>
    <row r="1071" spans="1:22" ht="16">
      <c r="A1071" t="s">
        <v>2300</v>
      </c>
      <c r="B1071" t="s">
        <v>2995</v>
      </c>
      <c r="C1071" t="s">
        <v>24</v>
      </c>
      <c r="D1071" t="s">
        <v>2007</v>
      </c>
      <c r="E1071" t="s">
        <v>45</v>
      </c>
      <c r="F1071" t="s">
        <v>281</v>
      </c>
      <c r="G1071" t="str">
        <f>HYPERLINK("https://twitter.com/ffe3bca533b047c/status/2027453571512348845")</f>
        <v>https://twitter.com/ffe3bca533b047c/status/2027453571512348845</v>
      </c>
      <c r="H1071" t="s">
        <v>28</v>
      </c>
      <c r="I1071" t="s">
        <v>2998</v>
      </c>
      <c r="J1071" t="s">
        <v>2999</v>
      </c>
      <c r="K1071" t="str">
        <f>HYPERLINK("http://twitter.com/ffe3bca533b047c")</f>
        <v>http://twitter.com/ffe3bca533b047c</v>
      </c>
      <c r="L1071">
        <v>304</v>
      </c>
      <c r="M1071" t="s">
        <v>40</v>
      </c>
      <c r="N1071" t="s">
        <v>278</v>
      </c>
      <c r="R1071" t="s">
        <v>32</v>
      </c>
      <c r="S1071" t="s">
        <v>33</v>
      </c>
      <c r="T1071" t="s">
        <v>34</v>
      </c>
      <c r="U1071" t="s">
        <v>478</v>
      </c>
      <c r="V1071" t="s">
        <v>2234</v>
      </c>
    </row>
    <row r="1072" spans="1:22" ht="16">
      <c r="A1072" t="s">
        <v>2300</v>
      </c>
      <c r="B1072" t="s">
        <v>2995</v>
      </c>
      <c r="C1072" t="s">
        <v>24</v>
      </c>
      <c r="D1072" t="s">
        <v>2007</v>
      </c>
      <c r="E1072" t="s">
        <v>45</v>
      </c>
      <c r="F1072" t="s">
        <v>281</v>
      </c>
      <c r="G1072" t="str">
        <f>HYPERLINK("https://twitter.com/LQu6vv0FrBNPeiY/status/2027453559768219844")</f>
        <v>https://twitter.com/LQu6vv0FrBNPeiY/status/2027453559768219844</v>
      </c>
      <c r="H1072" t="s">
        <v>28</v>
      </c>
      <c r="I1072" t="s">
        <v>3000</v>
      </c>
      <c r="J1072" t="s">
        <v>3001</v>
      </c>
      <c r="K1072" t="str">
        <f>HYPERLINK("http://twitter.com/LQu6vv0FrBNPeiY")</f>
        <v>http://twitter.com/LQu6vv0FrBNPeiY</v>
      </c>
      <c r="L1072">
        <v>600</v>
      </c>
      <c r="M1072" t="s">
        <v>30</v>
      </c>
      <c r="N1072" t="s">
        <v>278</v>
      </c>
      <c r="R1072" t="s">
        <v>32</v>
      </c>
      <c r="S1072" t="s">
        <v>33</v>
      </c>
      <c r="T1072" t="s">
        <v>34</v>
      </c>
      <c r="U1072" t="s">
        <v>58</v>
      </c>
      <c r="V1072" t="s">
        <v>58</v>
      </c>
    </row>
    <row r="1073" spans="1:20" ht="16">
      <c r="A1073" t="s">
        <v>2300</v>
      </c>
      <c r="B1073" t="s">
        <v>195</v>
      </c>
      <c r="C1073" t="s">
        <v>24</v>
      </c>
      <c r="D1073" t="s">
        <v>2276</v>
      </c>
      <c r="E1073" t="s">
        <v>45</v>
      </c>
      <c r="F1073" t="s">
        <v>3</v>
      </c>
      <c r="G1073" t="str">
        <f>HYPERLINK("https://twitter.com/krafp1962/status/2027453170046132509")</f>
        <v>https://twitter.com/krafp1962/status/2027453170046132509</v>
      </c>
      <c r="H1073" t="s">
        <v>28</v>
      </c>
      <c r="I1073" t="s">
        <v>3002</v>
      </c>
      <c r="J1073" t="s">
        <v>3003</v>
      </c>
      <c r="K1073" t="str">
        <f>HYPERLINK("http://twitter.com/krafp1962")</f>
        <v>http://twitter.com/krafp1962</v>
      </c>
      <c r="L1073">
        <v>142</v>
      </c>
      <c r="M1073" t="s">
        <v>40</v>
      </c>
      <c r="N1073" t="s">
        <v>278</v>
      </c>
      <c r="R1073" t="s">
        <v>32</v>
      </c>
      <c r="S1073" t="s">
        <v>33</v>
      </c>
      <c r="T1073" t="s">
        <v>34</v>
      </c>
    </row>
    <row r="1074" spans="1:20" ht="16">
      <c r="A1074" t="s">
        <v>2300</v>
      </c>
      <c r="B1074" t="s">
        <v>3004</v>
      </c>
      <c r="C1074" t="s">
        <v>24</v>
      </c>
      <c r="D1074" t="s">
        <v>2007</v>
      </c>
      <c r="E1074" t="s">
        <v>45</v>
      </c>
      <c r="F1074" t="s">
        <v>281</v>
      </c>
      <c r="G1074" t="str">
        <f>HYPERLINK("https://twitter.com/PMBR11/status/2027452233818759169")</f>
        <v>https://twitter.com/PMBR11/status/2027452233818759169</v>
      </c>
      <c r="H1074" t="s">
        <v>28</v>
      </c>
      <c r="I1074" t="s">
        <v>3005</v>
      </c>
      <c r="J1074" t="s">
        <v>3006</v>
      </c>
      <c r="K1074" t="str">
        <f>HYPERLINK("http://twitter.com/PMBR11")</f>
        <v>http://twitter.com/PMBR11</v>
      </c>
      <c r="L1074">
        <v>433</v>
      </c>
      <c r="N1074" t="s">
        <v>278</v>
      </c>
      <c r="R1074" t="s">
        <v>32</v>
      </c>
      <c r="S1074" t="s">
        <v>33</v>
      </c>
      <c r="T1074" t="s">
        <v>108</v>
      </c>
    </row>
    <row r="1075" spans="1:20" ht="16">
      <c r="A1075" t="s">
        <v>2300</v>
      </c>
      <c r="B1075" t="s">
        <v>3004</v>
      </c>
      <c r="C1075" t="s">
        <v>24</v>
      </c>
      <c r="D1075" t="s">
        <v>2276</v>
      </c>
      <c r="E1075" t="s">
        <v>45</v>
      </c>
      <c r="F1075" t="s">
        <v>3</v>
      </c>
      <c r="G1075" t="str">
        <f>HYPERLINK("https://twitter.com/Ray_net_ua/status/2027452176553873730")</f>
        <v>https://twitter.com/Ray_net_ua/status/2027452176553873730</v>
      </c>
      <c r="H1075" t="s">
        <v>28</v>
      </c>
      <c r="I1075" t="s">
        <v>3007</v>
      </c>
      <c r="J1075" t="s">
        <v>3008</v>
      </c>
      <c r="K1075" t="str">
        <f>HYPERLINK("http://twitter.com/Ray_net_ua")</f>
        <v>http://twitter.com/Ray_net_ua</v>
      </c>
      <c r="L1075">
        <v>10632</v>
      </c>
      <c r="M1075" t="s">
        <v>40</v>
      </c>
      <c r="N1075" t="s">
        <v>278</v>
      </c>
      <c r="R1075" t="s">
        <v>32</v>
      </c>
      <c r="S1075" t="s">
        <v>33</v>
      </c>
      <c r="T1075" t="s">
        <v>34</v>
      </c>
    </row>
    <row r="1076" spans="1:22" ht="16">
      <c r="A1076" t="s">
        <v>2300</v>
      </c>
      <c r="B1076" t="s">
        <v>1138</v>
      </c>
      <c r="C1076" t="s">
        <v>768</v>
      </c>
      <c r="D1076" t="s">
        <v>3009</v>
      </c>
      <c r="E1076" t="s">
        <v>74</v>
      </c>
      <c r="F1076" t="s">
        <v>3</v>
      </c>
      <c r="G1076" t="str">
        <f>HYPERLINK("https://www.facebook.com/toyelviv/posts/pfbid02HyVHmdRrHaKvpJCV4k8sSATEQmB44tvrgpepSrJQ66Qs74jVAzPQ6qaz5ZMHUoNBl?comment_id=907717808703057")</f>
        <v>https://www.facebook.com/toyelviv/posts/pfbid02HyVHmdRrHaKvpJCV4k8sSATEQmB44tvrgpepSrJQ66Qs74jVAzPQ6qaz5ZMHUoNBl?comment_id=907717808703057</v>
      </c>
      <c r="H1076" t="s">
        <v>28</v>
      </c>
      <c r="I1076" t="s">
        <v>3010</v>
      </c>
      <c r="J1076" t="s">
        <v>3011</v>
      </c>
      <c r="K1076" t="str">
        <f>HYPERLINK("https://www.facebook.com/100002293613905")</f>
        <v>https://www.facebook.com/100002293613905</v>
      </c>
      <c r="M1076" t="s">
        <v>40</v>
      </c>
      <c r="N1076" t="s">
        <v>31</v>
      </c>
      <c r="O1076" t="s">
        <v>1559</v>
      </c>
      <c r="P1076" t="str">
        <f>HYPERLINK("https://www.facebook.com/320892981422193")</f>
        <v>https://www.facebook.com/320892981422193</v>
      </c>
      <c r="Q1076">
        <v>293869</v>
      </c>
      <c r="R1076" t="s">
        <v>32</v>
      </c>
      <c r="S1076" t="s">
        <v>33</v>
      </c>
      <c r="T1076" t="s">
        <v>1499</v>
      </c>
      <c r="U1076" t="s">
        <v>1500</v>
      </c>
      <c r="V1076" t="s">
        <v>3012</v>
      </c>
    </row>
    <row r="1077" spans="1:19" ht="16">
      <c r="A1077" t="s">
        <v>2300</v>
      </c>
      <c r="B1077" t="s">
        <v>3013</v>
      </c>
      <c r="C1077" t="s">
        <v>24</v>
      </c>
      <c r="D1077" t="s">
        <v>2251</v>
      </c>
      <c r="E1077" t="s">
        <v>45</v>
      </c>
      <c r="F1077" t="s">
        <v>1977</v>
      </c>
      <c r="G1077" t="str">
        <f>HYPERLINK("https://www.threads.net/@notyouraverageua_444/post/DVRYIGRGo42")</f>
        <v>https://www.threads.net/@notyouraverageua_444/post/DVRYIGRGo42</v>
      </c>
      <c r="H1077" t="s">
        <v>28</v>
      </c>
      <c r="I1077" t="s">
        <v>3014</v>
      </c>
      <c r="J1077" t="s">
        <v>3015</v>
      </c>
      <c r="K1077" t="str">
        <f>HYPERLINK("https://www.threads.net/@notyouraverageua_444")</f>
        <v>https://www.threads.net/@notyouraverageua_444</v>
      </c>
      <c r="L1077">
        <v>16</v>
      </c>
      <c r="M1077" t="s">
        <v>30</v>
      </c>
      <c r="N1077" t="s">
        <v>1980</v>
      </c>
      <c r="R1077" t="s">
        <v>32</v>
      </c>
      <c r="S1077" t="s">
        <v>33</v>
      </c>
    </row>
    <row r="1078" spans="1:20" ht="16">
      <c r="A1078" t="s">
        <v>2300</v>
      </c>
      <c r="B1078" t="s">
        <v>3013</v>
      </c>
      <c r="C1078" t="s">
        <v>24</v>
      </c>
      <c r="D1078" t="s">
        <v>2276</v>
      </c>
      <c r="E1078" t="s">
        <v>45</v>
      </c>
      <c r="F1078" t="s">
        <v>3</v>
      </c>
      <c r="G1078" t="str">
        <f>HYPERLINK("https://twitter.com/killwekenny/status/2027451634826064140")</f>
        <v>https://twitter.com/killwekenny/status/2027451634826064140</v>
      </c>
      <c r="H1078" t="s">
        <v>28</v>
      </c>
      <c r="I1078" t="s">
        <v>3016</v>
      </c>
      <c r="J1078" t="s">
        <v>3017</v>
      </c>
      <c r="K1078" t="str">
        <f>HYPERLINK("http://twitter.com/killwekenny")</f>
        <v>http://twitter.com/killwekenny</v>
      </c>
      <c r="L1078">
        <v>639</v>
      </c>
      <c r="N1078" t="s">
        <v>278</v>
      </c>
      <c r="R1078" t="s">
        <v>32</v>
      </c>
      <c r="S1078" t="s">
        <v>33</v>
      </c>
      <c r="T1078" t="s">
        <v>1174</v>
      </c>
    </row>
    <row r="1079" spans="1:20" ht="16">
      <c r="A1079" t="s">
        <v>2300</v>
      </c>
      <c r="B1079" t="s">
        <v>3018</v>
      </c>
      <c r="C1079" t="s">
        <v>24</v>
      </c>
      <c r="D1079" t="s">
        <v>2007</v>
      </c>
      <c r="E1079" t="s">
        <v>45</v>
      </c>
      <c r="F1079" t="s">
        <v>281</v>
      </c>
      <c r="G1079" t="str">
        <f>HYPERLINK("https://twitter.com/ss907704/status/2027451335872811222")</f>
        <v>https://twitter.com/ss907704/status/2027451335872811222</v>
      </c>
      <c r="H1079" t="s">
        <v>28</v>
      </c>
      <c r="I1079" t="s">
        <v>3019</v>
      </c>
      <c r="J1079" t="s">
        <v>3020</v>
      </c>
      <c r="K1079" t="str">
        <f>HYPERLINK("http://twitter.com/ss907704")</f>
        <v>http://twitter.com/ss907704</v>
      </c>
      <c r="L1079">
        <v>157</v>
      </c>
      <c r="N1079" t="s">
        <v>278</v>
      </c>
      <c r="R1079" t="s">
        <v>32</v>
      </c>
      <c r="S1079" t="s">
        <v>33</v>
      </c>
      <c r="T1079" t="s">
        <v>34</v>
      </c>
    </row>
    <row r="1080" spans="1:20" ht="16">
      <c r="A1080" t="s">
        <v>2300</v>
      </c>
      <c r="B1080" t="s">
        <v>3021</v>
      </c>
      <c r="C1080" t="s">
        <v>24</v>
      </c>
      <c r="D1080" t="s">
        <v>2007</v>
      </c>
      <c r="E1080" t="s">
        <v>45</v>
      </c>
      <c r="F1080" t="s">
        <v>281</v>
      </c>
      <c r="G1080" t="str">
        <f>HYPERLINK("https://twitter.com/AleksandrM2820/status/2027451058289553654")</f>
        <v>https://twitter.com/AleksandrM2820/status/2027451058289553654</v>
      </c>
      <c r="H1080" t="s">
        <v>28</v>
      </c>
      <c r="I1080" t="s">
        <v>3022</v>
      </c>
      <c r="J1080" t="s">
        <v>3023</v>
      </c>
      <c r="K1080" t="str">
        <f>HYPERLINK("http://twitter.com/AleksandrM2820")</f>
        <v>http://twitter.com/AleksandrM2820</v>
      </c>
      <c r="L1080">
        <v>35</v>
      </c>
      <c r="M1080" t="s">
        <v>40</v>
      </c>
      <c r="N1080" t="s">
        <v>278</v>
      </c>
      <c r="R1080" t="s">
        <v>32</v>
      </c>
      <c r="S1080" t="s">
        <v>33</v>
      </c>
      <c r="T1080" t="s">
        <v>34</v>
      </c>
    </row>
    <row r="1081" spans="1:22" ht="16">
      <c r="A1081" t="s">
        <v>2300</v>
      </c>
      <c r="B1081" t="s">
        <v>201</v>
      </c>
      <c r="C1081" t="s">
        <v>24</v>
      </c>
      <c r="D1081" t="s">
        <v>2007</v>
      </c>
      <c r="E1081" t="s">
        <v>45</v>
      </c>
      <c r="F1081" t="s">
        <v>281</v>
      </c>
      <c r="G1081" t="str">
        <f>HYPERLINK("https://twitter.com/6dm4AgETt73ADP6/status/2027450756589089203")</f>
        <v>https://twitter.com/6dm4AgETt73ADP6/status/2027450756589089203</v>
      </c>
      <c r="H1081" t="s">
        <v>28</v>
      </c>
      <c r="I1081" t="s">
        <v>3024</v>
      </c>
      <c r="J1081" t="s">
        <v>3025</v>
      </c>
      <c r="K1081" t="str">
        <f>HYPERLINK("http://twitter.com/6dm4AgETt73ADP6")</f>
        <v>http://twitter.com/6dm4AgETt73ADP6</v>
      </c>
      <c r="L1081">
        <v>73</v>
      </c>
      <c r="N1081" t="s">
        <v>278</v>
      </c>
      <c r="R1081" t="s">
        <v>32</v>
      </c>
      <c r="S1081" t="s">
        <v>33</v>
      </c>
      <c r="T1081" t="s">
        <v>34</v>
      </c>
      <c r="U1081" t="s">
        <v>309</v>
      </c>
      <c r="V1081" t="s">
        <v>3026</v>
      </c>
    </row>
    <row r="1082" spans="1:22" ht="16">
      <c r="A1082" t="s">
        <v>2300</v>
      </c>
      <c r="B1082" t="s">
        <v>1148</v>
      </c>
      <c r="C1082" t="s">
        <v>80</v>
      </c>
      <c r="D1082" t="s">
        <v>3027</v>
      </c>
      <c r="E1082" t="s">
        <v>74</v>
      </c>
      <c r="F1082" t="s">
        <v>3</v>
      </c>
      <c r="G1082" t="str">
        <f>HYPERLINK("https://www.facebook.com/permalink.php?story_fbid=pfbid02rbt51TUb57HR4F6gBd5FwSTuyaUp3gHvM6gsAExHboTPbUq2FdNvTKt3sBpRB8pml&amp;id=100006975138432&amp;comment_id=2092032988248939")</f>
        <v>https://www.facebook.com/permalink.php?story_fbid=pfbid02rbt51TUb57HR4F6gBd5FwSTuyaUp3gHvM6gsAExHboTPbUq2FdNvTKt3sBpRB8pml&amp;id=100006975138432&amp;comment_id=2092032988248939</v>
      </c>
      <c r="H1082" t="s">
        <v>28</v>
      </c>
      <c r="I1082" t="s">
        <v>3028</v>
      </c>
      <c r="K1082" t="str">
        <f>HYPERLINK("https://www.facebook.com/100081177840475")</f>
        <v>https://www.facebook.com/100081177840475</v>
      </c>
      <c r="M1082" t="s">
        <v>40</v>
      </c>
      <c r="N1082" t="s">
        <v>31</v>
      </c>
      <c r="O1082" t="s">
        <v>1399</v>
      </c>
      <c r="P1082" t="str">
        <f>HYPERLINK("https://www.facebook.com/100006975138432")</f>
        <v>https://www.facebook.com/100006975138432</v>
      </c>
      <c r="R1082" t="s">
        <v>32</v>
      </c>
      <c r="S1082" t="s">
        <v>33</v>
      </c>
      <c r="T1082" t="s">
        <v>34</v>
      </c>
      <c r="U1082" t="s">
        <v>58</v>
      </c>
      <c r="V1082" t="s">
        <v>58</v>
      </c>
    </row>
    <row r="1083" spans="1:19" ht="16">
      <c r="A1083" t="s">
        <v>2300</v>
      </c>
      <c r="B1083" t="s">
        <v>1148</v>
      </c>
      <c r="C1083" t="s">
        <v>24</v>
      </c>
      <c r="D1083" t="s">
        <v>2007</v>
      </c>
      <c r="E1083" t="s">
        <v>45</v>
      </c>
      <c r="F1083" t="s">
        <v>281</v>
      </c>
      <c r="G1083" t="str">
        <f>HYPERLINK("https://twitter.com/NortonEdgar777/status/2027450515181769106")</f>
        <v>https://twitter.com/NortonEdgar777/status/2027450515181769106</v>
      </c>
      <c r="H1083" t="s">
        <v>28</v>
      </c>
      <c r="I1083" t="s">
        <v>3029</v>
      </c>
      <c r="J1083" t="s">
        <v>3030</v>
      </c>
      <c r="K1083" t="str">
        <f>HYPERLINK("http://twitter.com/NortonEdgar777")</f>
        <v>http://twitter.com/NortonEdgar777</v>
      </c>
      <c r="L1083">
        <v>23</v>
      </c>
      <c r="N1083" t="s">
        <v>278</v>
      </c>
      <c r="R1083" t="s">
        <v>32</v>
      </c>
      <c r="S1083" t="s">
        <v>33</v>
      </c>
    </row>
    <row r="1084" spans="1:20" ht="16">
      <c r="A1084" t="s">
        <v>2300</v>
      </c>
      <c r="B1084" t="s">
        <v>1148</v>
      </c>
      <c r="C1084" t="s">
        <v>24</v>
      </c>
      <c r="D1084" t="s">
        <v>3031</v>
      </c>
      <c r="E1084" t="s">
        <v>101</v>
      </c>
      <c r="F1084" t="s">
        <v>281</v>
      </c>
      <c r="G1084" t="str">
        <f>HYPERLINK("https://twitter.com/TherapyBody/status/2027450476262748397")</f>
        <v>https://twitter.com/TherapyBody/status/2027450476262748397</v>
      </c>
      <c r="H1084" t="s">
        <v>28</v>
      </c>
      <c r="I1084" t="s">
        <v>3032</v>
      </c>
      <c r="J1084" t="s">
        <v>3033</v>
      </c>
      <c r="K1084" t="str">
        <f>HYPERLINK("http://twitter.com/TherapyBody")</f>
        <v>http://twitter.com/TherapyBody</v>
      </c>
      <c r="L1084">
        <v>2566</v>
      </c>
      <c r="M1084" t="s">
        <v>40</v>
      </c>
      <c r="N1084" t="s">
        <v>278</v>
      </c>
      <c r="R1084" t="s">
        <v>32</v>
      </c>
      <c r="S1084" t="s">
        <v>33</v>
      </c>
      <c r="T1084" t="s">
        <v>34</v>
      </c>
    </row>
    <row r="1085" spans="1:19" ht="16">
      <c r="A1085" t="s">
        <v>2300</v>
      </c>
      <c r="B1085" t="s">
        <v>1153</v>
      </c>
      <c r="C1085" t="s">
        <v>24</v>
      </c>
      <c r="D1085" t="s">
        <v>3034</v>
      </c>
      <c r="E1085" t="s">
        <v>26</v>
      </c>
      <c r="F1085" t="s">
        <v>1230</v>
      </c>
      <c r="G1085" t="str">
        <f>HYPERLINK("https://www.threads.net/@ua.news.24/post/DVRXkEKEfyc")</f>
        <v>https://www.threads.net/@ua.news.24/post/DVRXkEKEfyc</v>
      </c>
      <c r="H1085" t="s">
        <v>28</v>
      </c>
      <c r="I1085" t="s">
        <v>794</v>
      </c>
      <c r="J1085" t="s">
        <v>3035</v>
      </c>
      <c r="K1085" t="str">
        <f>HYPERLINK("https://www.threads.net/@ua.news.24")</f>
        <v>https://www.threads.net/@ua.news.24</v>
      </c>
      <c r="L1085">
        <v>14960</v>
      </c>
      <c r="N1085" t="s">
        <v>1980</v>
      </c>
      <c r="R1085" t="s">
        <v>32</v>
      </c>
      <c r="S1085" t="s">
        <v>33</v>
      </c>
    </row>
    <row r="1086" spans="1:20" ht="16">
      <c r="A1086" t="s">
        <v>2300</v>
      </c>
      <c r="B1086" t="s">
        <v>1153</v>
      </c>
      <c r="C1086" t="s">
        <v>24</v>
      </c>
      <c r="D1086" t="s">
        <v>2007</v>
      </c>
      <c r="E1086" t="s">
        <v>45</v>
      </c>
      <c r="F1086" t="s">
        <v>281</v>
      </c>
      <c r="G1086" t="str">
        <f>HYPERLINK("https://twitter.com/ua19_aleks/status/2027450373456228615")</f>
        <v>https://twitter.com/ua19_aleks/status/2027450373456228615</v>
      </c>
      <c r="H1086" t="s">
        <v>28</v>
      </c>
      <c r="I1086" t="s">
        <v>3036</v>
      </c>
      <c r="J1086" t="s">
        <v>3037</v>
      </c>
      <c r="K1086" t="str">
        <f>HYPERLINK("http://twitter.com/ua19_aleks")</f>
        <v>http://twitter.com/ua19_aleks</v>
      </c>
      <c r="L1086">
        <v>217</v>
      </c>
      <c r="N1086" t="s">
        <v>278</v>
      </c>
      <c r="R1086" t="s">
        <v>32</v>
      </c>
      <c r="S1086" t="s">
        <v>33</v>
      </c>
      <c r="T1086" t="s">
        <v>34</v>
      </c>
    </row>
    <row r="1087" spans="1:19" ht="16">
      <c r="A1087" t="s">
        <v>2300</v>
      </c>
      <c r="B1087" t="s">
        <v>1153</v>
      </c>
      <c r="C1087" t="s">
        <v>24</v>
      </c>
      <c r="D1087" t="s">
        <v>3034</v>
      </c>
      <c r="E1087" t="s">
        <v>26</v>
      </c>
      <c r="F1087" t="s">
        <v>1230</v>
      </c>
      <c r="G1087" t="str">
        <f>HYPERLINK("https://www.instagram.com/p/DVRXg6VDXil/")</f>
        <v>https://www.instagram.com/p/DVRXg6VDXil/</v>
      </c>
      <c r="H1087" t="s">
        <v>28</v>
      </c>
      <c r="I1087" t="s">
        <v>794</v>
      </c>
      <c r="J1087" t="s">
        <v>3035</v>
      </c>
      <c r="K1087" t="str">
        <f>HYPERLINK("http://instagram.com/ua.news.24")</f>
        <v>http://instagram.com/ua.news.24</v>
      </c>
      <c r="L1087">
        <v>149973</v>
      </c>
      <c r="N1087" t="s">
        <v>3038</v>
      </c>
      <c r="O1087" t="s">
        <v>794</v>
      </c>
      <c r="P1087" t="str">
        <f>HYPERLINK("http://instagram.com/ua.news.24")</f>
        <v>http://instagram.com/ua.news.24</v>
      </c>
      <c r="Q1087">
        <v>149973</v>
      </c>
      <c r="R1087" t="s">
        <v>32</v>
      </c>
      <c r="S1087" t="s">
        <v>33</v>
      </c>
    </row>
    <row r="1088" spans="1:20" ht="16">
      <c r="A1088" t="s">
        <v>2300</v>
      </c>
      <c r="B1088" t="s">
        <v>3039</v>
      </c>
      <c r="C1088" t="s">
        <v>768</v>
      </c>
      <c r="D1088" t="s">
        <v>3040</v>
      </c>
      <c r="E1088" t="s">
        <v>74</v>
      </c>
      <c r="F1088" t="s">
        <v>3</v>
      </c>
      <c r="G1088" t="str">
        <f>HYPERLINK("https://www.facebook.com/toyelviv/posts/pfbid02HyVHmdRrHaKvpJCV4k8sSATEQmB44tvrgpepSrJQ66Qs74jVAzPQ6qaz5ZMHUoNBl?comment_id=1886562332222245")</f>
        <v>https://www.facebook.com/toyelviv/posts/pfbid02HyVHmdRrHaKvpJCV4k8sSATEQmB44tvrgpepSrJQ66Qs74jVAzPQ6qaz5ZMHUoNBl?comment_id=1886562332222245</v>
      </c>
      <c r="H1088" t="s">
        <v>28</v>
      </c>
      <c r="I1088" t="s">
        <v>3041</v>
      </c>
      <c r="K1088" t="str">
        <f>HYPERLINK("https://www.facebook.com/100023891569329")</f>
        <v>https://www.facebook.com/100023891569329</v>
      </c>
      <c r="M1088" t="s">
        <v>30</v>
      </c>
      <c r="N1088" t="s">
        <v>31</v>
      </c>
      <c r="O1088" t="s">
        <v>1559</v>
      </c>
      <c r="P1088" t="str">
        <f>HYPERLINK("https://www.facebook.com/320892981422193")</f>
        <v>https://www.facebook.com/320892981422193</v>
      </c>
      <c r="Q1088">
        <v>293869</v>
      </c>
      <c r="R1088" t="s">
        <v>32</v>
      </c>
      <c r="S1088" t="s">
        <v>85</v>
      </c>
      <c r="T1088" t="s">
        <v>34</v>
      </c>
    </row>
    <row r="1089" spans="1:20" ht="16">
      <c r="A1089" t="s">
        <v>2300</v>
      </c>
      <c r="B1089" t="s">
        <v>3042</v>
      </c>
      <c r="C1089" t="s">
        <v>24</v>
      </c>
      <c r="D1089" t="s">
        <v>2007</v>
      </c>
      <c r="E1089" t="s">
        <v>45</v>
      </c>
      <c r="F1089" t="s">
        <v>281</v>
      </c>
      <c r="G1089" t="str">
        <f>HYPERLINK("https://twitter.com/Ray_net_ua/status/2027449587233959985")</f>
        <v>https://twitter.com/Ray_net_ua/status/2027449587233959985</v>
      </c>
      <c r="H1089" t="s">
        <v>28</v>
      </c>
      <c r="I1089" t="s">
        <v>3007</v>
      </c>
      <c r="J1089" t="s">
        <v>3008</v>
      </c>
      <c r="K1089" t="str">
        <f>HYPERLINK("http://twitter.com/Ray_net_ua")</f>
        <v>http://twitter.com/Ray_net_ua</v>
      </c>
      <c r="L1089">
        <v>10632</v>
      </c>
      <c r="M1089" t="s">
        <v>40</v>
      </c>
      <c r="N1089" t="s">
        <v>278</v>
      </c>
      <c r="R1089" t="s">
        <v>32</v>
      </c>
      <c r="S1089" t="s">
        <v>33</v>
      </c>
      <c r="T1089" t="s">
        <v>34</v>
      </c>
    </row>
    <row r="1090" spans="1:19" ht="16">
      <c r="A1090" t="s">
        <v>2300</v>
      </c>
      <c r="B1090" t="s">
        <v>3042</v>
      </c>
      <c r="C1090" t="s">
        <v>24</v>
      </c>
      <c r="D1090" t="s">
        <v>49</v>
      </c>
      <c r="E1090" t="s">
        <v>26</v>
      </c>
      <c r="F1090" t="s">
        <v>3</v>
      </c>
      <c r="G1090" t="str">
        <f>HYPERLINK("https://telegram.me/biluhamedia/3221")</f>
        <v>https://telegram.me/biluhamedia/3221</v>
      </c>
      <c r="H1090" t="s">
        <v>28</v>
      </c>
      <c r="I1090" t="s">
        <v>3043</v>
      </c>
      <c r="J1090" t="s">
        <v>3044</v>
      </c>
      <c r="K1090" t="str">
        <f>HYPERLINK("https://telegram.me/biluhamedia")</f>
        <v>https://telegram.me/biluhamedia</v>
      </c>
      <c r="L1090">
        <v>177</v>
      </c>
      <c r="M1090" t="s">
        <v>345</v>
      </c>
      <c r="N1090" t="s">
        <v>346</v>
      </c>
      <c r="O1090" t="s">
        <v>3043</v>
      </c>
      <c r="P1090" t="str">
        <f>HYPERLINK("https://telegram.me/biluhamedia")</f>
        <v>https://telegram.me/biluhamedia</v>
      </c>
      <c r="Q1090">
        <v>177</v>
      </c>
      <c r="R1090" t="s">
        <v>347</v>
      </c>
      <c r="S1090" t="s">
        <v>33</v>
      </c>
    </row>
    <row r="1091" spans="1:20" ht="16">
      <c r="A1091" t="s">
        <v>2300</v>
      </c>
      <c r="B1091" t="s">
        <v>3042</v>
      </c>
      <c r="C1091" t="s">
        <v>24</v>
      </c>
      <c r="D1091" t="s">
        <v>2007</v>
      </c>
      <c r="E1091" t="s">
        <v>45</v>
      </c>
      <c r="F1091" t="s">
        <v>281</v>
      </c>
      <c r="G1091" t="str">
        <f>HYPERLINK("https://twitter.com/Sophia_Vlnts/status/2027449439212999131")</f>
        <v>https://twitter.com/Sophia_Vlnts/status/2027449439212999131</v>
      </c>
      <c r="H1091" t="s">
        <v>28</v>
      </c>
      <c r="I1091" t="s">
        <v>3045</v>
      </c>
      <c r="J1091" t="s">
        <v>3046</v>
      </c>
      <c r="K1091" t="str">
        <f>HYPERLINK("http://twitter.com/Sophia_Vlnts")</f>
        <v>http://twitter.com/Sophia_Vlnts</v>
      </c>
      <c r="L1091">
        <v>11</v>
      </c>
      <c r="M1091" t="s">
        <v>30</v>
      </c>
      <c r="N1091" t="s">
        <v>278</v>
      </c>
      <c r="R1091" t="s">
        <v>32</v>
      </c>
      <c r="S1091" t="s">
        <v>33</v>
      </c>
      <c r="T1091" t="s">
        <v>86</v>
      </c>
    </row>
    <row r="1092" spans="1:20" ht="16">
      <c r="A1092" t="s">
        <v>2300</v>
      </c>
      <c r="B1092" t="s">
        <v>3047</v>
      </c>
      <c r="C1092" t="s">
        <v>768</v>
      </c>
      <c r="D1092" t="s">
        <v>3048</v>
      </c>
      <c r="E1092" t="s">
        <v>74</v>
      </c>
      <c r="F1092" t="s">
        <v>3</v>
      </c>
      <c r="G1092" t="str">
        <f>HYPERLINK("https://www.facebook.com/toyelviv/posts/pfbid02HyVHmdRrHaKvpJCV4k8sSATEQmB44tvrgpepSrJQ66Qs74jVAzPQ6qaz5ZMHUoNBl?comment_id=770453519053315")</f>
        <v>https://www.facebook.com/toyelviv/posts/pfbid02HyVHmdRrHaKvpJCV4k8sSATEQmB44tvrgpepSrJQ66Qs74jVAzPQ6qaz5ZMHUoNBl?comment_id=770453519053315</v>
      </c>
      <c r="H1092" t="s">
        <v>28</v>
      </c>
      <c r="I1092" t="s">
        <v>3049</v>
      </c>
      <c r="K1092" t="str">
        <f>HYPERLINK("https://www.facebook.com/100021360222877")</f>
        <v>https://www.facebook.com/100021360222877</v>
      </c>
      <c r="M1092" t="s">
        <v>30</v>
      </c>
      <c r="N1092" t="s">
        <v>31</v>
      </c>
      <c r="O1092" t="s">
        <v>1559</v>
      </c>
      <c r="P1092" t="str">
        <f>HYPERLINK("https://www.facebook.com/320892981422193")</f>
        <v>https://www.facebook.com/320892981422193</v>
      </c>
      <c r="Q1092">
        <v>293869</v>
      </c>
      <c r="R1092" t="s">
        <v>32</v>
      </c>
      <c r="S1092" t="s">
        <v>33</v>
      </c>
      <c r="T1092" t="s">
        <v>34</v>
      </c>
    </row>
    <row r="1093" spans="1:22" ht="16">
      <c r="A1093" t="s">
        <v>2300</v>
      </c>
      <c r="B1093" t="s">
        <v>3047</v>
      </c>
      <c r="C1093" t="s">
        <v>768</v>
      </c>
      <c r="D1093" t="s">
        <v>3050</v>
      </c>
      <c r="E1093" t="s">
        <v>74</v>
      </c>
      <c r="F1093" t="s">
        <v>3</v>
      </c>
      <c r="G1093" t="str">
        <f>HYPERLINK("https://www.facebook.com/toyelviv/posts/pfbid02HyVHmdRrHaKvpJCV4k8sSATEQmB44tvrgpepSrJQ66Qs74jVAzPQ6qaz5ZMHUoNBl?comment_id=857752770621657")</f>
        <v>https://www.facebook.com/toyelviv/posts/pfbid02HyVHmdRrHaKvpJCV4k8sSATEQmB44tvrgpepSrJQ66Qs74jVAzPQ6qaz5ZMHUoNBl?comment_id=857752770621657</v>
      </c>
      <c r="H1093" t="s">
        <v>28</v>
      </c>
      <c r="I1093" t="s">
        <v>3051</v>
      </c>
      <c r="K1093" t="str">
        <f>HYPERLINK("https://www.facebook.com/100012587264020")</f>
        <v>https://www.facebook.com/100012587264020</v>
      </c>
      <c r="M1093" t="s">
        <v>40</v>
      </c>
      <c r="N1093" t="s">
        <v>31</v>
      </c>
      <c r="O1093" t="s">
        <v>1559</v>
      </c>
      <c r="P1093" t="str">
        <f>HYPERLINK("https://www.facebook.com/320892981422193")</f>
        <v>https://www.facebook.com/320892981422193</v>
      </c>
      <c r="Q1093">
        <v>293869</v>
      </c>
      <c r="R1093" t="s">
        <v>32</v>
      </c>
      <c r="S1093" t="s">
        <v>85</v>
      </c>
      <c r="T1093" t="s">
        <v>34</v>
      </c>
      <c r="U1093" t="s">
        <v>41</v>
      </c>
      <c r="V1093" t="s">
        <v>3052</v>
      </c>
    </row>
    <row r="1094" spans="1:22" ht="16">
      <c r="A1094" t="s">
        <v>2300</v>
      </c>
      <c r="B1094" t="s">
        <v>1155</v>
      </c>
      <c r="C1094" t="s">
        <v>24</v>
      </c>
      <c r="D1094" t="s">
        <v>2497</v>
      </c>
      <c r="E1094" t="s">
        <v>45</v>
      </c>
      <c r="F1094" t="s">
        <v>46</v>
      </c>
      <c r="G1094" t="str">
        <f>HYPERLINK("https://www.facebook.com/26205175789101550")</f>
        <v>https://www.facebook.com/26205175789101550</v>
      </c>
      <c r="H1094" t="s">
        <v>28</v>
      </c>
      <c r="I1094" t="s">
        <v>132</v>
      </c>
      <c r="K1094" t="str">
        <f>HYPERLINK("https://www.facebook.com/100001074597612")</f>
        <v>https://www.facebook.com/100001074597612</v>
      </c>
      <c r="M1094" t="s">
        <v>40</v>
      </c>
      <c r="N1094" t="s">
        <v>31</v>
      </c>
      <c r="O1094" t="s">
        <v>132</v>
      </c>
      <c r="P1094" t="str">
        <f>HYPERLINK("https://www.facebook.com/100001074597612")</f>
        <v>https://www.facebook.com/100001074597612</v>
      </c>
      <c r="R1094" t="s">
        <v>32</v>
      </c>
      <c r="S1094" t="s">
        <v>33</v>
      </c>
      <c r="T1094" t="s">
        <v>34</v>
      </c>
      <c r="U1094" t="s">
        <v>58</v>
      </c>
      <c r="V1094" t="s">
        <v>58</v>
      </c>
    </row>
    <row r="1095" spans="1:22" ht="16">
      <c r="A1095" t="s">
        <v>2300</v>
      </c>
      <c r="B1095" t="s">
        <v>1155</v>
      </c>
      <c r="C1095" t="s">
        <v>768</v>
      </c>
      <c r="D1095" t="s">
        <v>3053</v>
      </c>
      <c r="E1095" t="s">
        <v>74</v>
      </c>
      <c r="F1095" t="s">
        <v>3</v>
      </c>
      <c r="G1095" t="str">
        <f>HYPERLINK("https://www.facebook.com/toyelviv/posts/pfbid02HyVHmdRrHaKvpJCV4k8sSATEQmB44tvrgpepSrJQ66Qs74jVAzPQ6qaz5ZMHUoNBl?comment_id=1633858187737516")</f>
        <v>https://www.facebook.com/toyelviv/posts/pfbid02HyVHmdRrHaKvpJCV4k8sSATEQmB44tvrgpepSrJQ66Qs74jVAzPQ6qaz5ZMHUoNBl?comment_id=1633858187737516</v>
      </c>
      <c r="H1095" t="s">
        <v>28</v>
      </c>
      <c r="I1095" t="s">
        <v>3054</v>
      </c>
      <c r="K1095" t="str">
        <f>HYPERLINK("https://www.facebook.com/100024189455816")</f>
        <v>https://www.facebook.com/100024189455816</v>
      </c>
      <c r="L1095">
        <v>2690</v>
      </c>
      <c r="M1095" t="s">
        <v>40</v>
      </c>
      <c r="N1095" t="s">
        <v>31</v>
      </c>
      <c r="O1095" t="s">
        <v>1559</v>
      </c>
      <c r="P1095" t="str">
        <f>HYPERLINK("https://www.facebook.com/320892981422193")</f>
        <v>https://www.facebook.com/320892981422193</v>
      </c>
      <c r="Q1095">
        <v>293869</v>
      </c>
      <c r="R1095" t="s">
        <v>32</v>
      </c>
      <c r="S1095" t="s">
        <v>85</v>
      </c>
      <c r="T1095" t="s">
        <v>34</v>
      </c>
      <c r="U1095" t="s">
        <v>41</v>
      </c>
      <c r="V1095" t="s">
        <v>42</v>
      </c>
    </row>
    <row r="1096" spans="1:20" ht="16">
      <c r="A1096" t="s">
        <v>2300</v>
      </c>
      <c r="B1096" t="s">
        <v>1155</v>
      </c>
      <c r="C1096" t="s">
        <v>24</v>
      </c>
      <c r="D1096" t="s">
        <v>2007</v>
      </c>
      <c r="E1096" t="s">
        <v>45</v>
      </c>
      <c r="F1096" t="s">
        <v>281</v>
      </c>
      <c r="G1096" t="str">
        <f>HYPERLINK("https://twitter.com/UkraineSuper1/status/2027448694413402555")</f>
        <v>https://twitter.com/UkraineSuper1/status/2027448694413402555</v>
      </c>
      <c r="H1096" t="s">
        <v>28</v>
      </c>
      <c r="I1096" t="s">
        <v>3055</v>
      </c>
      <c r="J1096" t="s">
        <v>3056</v>
      </c>
      <c r="K1096" t="str">
        <f>HYPERLINK("http://twitter.com/UkraineSuper1")</f>
        <v>http://twitter.com/UkraineSuper1</v>
      </c>
      <c r="L1096">
        <v>3044</v>
      </c>
      <c r="N1096" t="s">
        <v>278</v>
      </c>
      <c r="R1096" t="s">
        <v>32</v>
      </c>
      <c r="S1096" t="s">
        <v>33</v>
      </c>
      <c r="T1096" t="s">
        <v>199</v>
      </c>
    </row>
    <row r="1097" spans="1:20" ht="16">
      <c r="A1097" t="s">
        <v>2300</v>
      </c>
      <c r="B1097" t="s">
        <v>3057</v>
      </c>
      <c r="C1097" t="s">
        <v>24</v>
      </c>
      <c r="D1097" t="s">
        <v>2007</v>
      </c>
      <c r="E1097" t="s">
        <v>45</v>
      </c>
      <c r="F1097" t="s">
        <v>281</v>
      </c>
      <c r="G1097" t="str">
        <f>HYPERLINK("https://twitter.com/Ursaic/status/2027448464057962730")</f>
        <v>https://twitter.com/Ursaic/status/2027448464057962730</v>
      </c>
      <c r="H1097" t="s">
        <v>28</v>
      </c>
      <c r="I1097" t="s">
        <v>3058</v>
      </c>
      <c r="J1097" t="s">
        <v>3058</v>
      </c>
      <c r="K1097" t="str">
        <f>HYPERLINK("http://twitter.com/Ursaic")</f>
        <v>http://twitter.com/Ursaic</v>
      </c>
      <c r="L1097">
        <v>0</v>
      </c>
      <c r="N1097" t="s">
        <v>278</v>
      </c>
      <c r="R1097" t="s">
        <v>32</v>
      </c>
      <c r="S1097" t="s">
        <v>33</v>
      </c>
      <c r="T1097" t="s">
        <v>1284</v>
      </c>
    </row>
    <row r="1098" spans="1:22" ht="16">
      <c r="A1098" t="s">
        <v>2300</v>
      </c>
      <c r="B1098" t="s">
        <v>3059</v>
      </c>
      <c r="C1098" t="s">
        <v>768</v>
      </c>
      <c r="D1098" t="s">
        <v>3060</v>
      </c>
      <c r="E1098" t="s">
        <v>74</v>
      </c>
      <c r="F1098" t="s">
        <v>3</v>
      </c>
      <c r="G1098" t="str">
        <f>HYPERLINK("https://www.facebook.com/toyelviv/posts/pfbid02HyVHmdRrHaKvpJCV4k8sSATEQmB44tvrgpepSrJQ66Qs74jVAzPQ6qaz5ZMHUoNBl?comment_id=1902717083943347")</f>
        <v>https://www.facebook.com/toyelviv/posts/pfbid02HyVHmdRrHaKvpJCV4k8sSATEQmB44tvrgpepSrJQ66Qs74jVAzPQ6qaz5ZMHUoNBl?comment_id=1902717083943347</v>
      </c>
      <c r="H1098" t="s">
        <v>28</v>
      </c>
      <c r="I1098" t="s">
        <v>3061</v>
      </c>
      <c r="K1098" t="str">
        <f>HYPERLINK("https://www.facebook.com/100004732576202")</f>
        <v>https://www.facebook.com/100004732576202</v>
      </c>
      <c r="M1098" t="s">
        <v>30</v>
      </c>
      <c r="N1098" t="s">
        <v>31</v>
      </c>
      <c r="O1098" t="s">
        <v>1559</v>
      </c>
      <c r="P1098" t="str">
        <f>HYPERLINK("https://www.facebook.com/320892981422193")</f>
        <v>https://www.facebook.com/320892981422193</v>
      </c>
      <c r="Q1098">
        <v>293869</v>
      </c>
      <c r="R1098" t="s">
        <v>32</v>
      </c>
      <c r="S1098" t="s">
        <v>85</v>
      </c>
      <c r="T1098" t="s">
        <v>34</v>
      </c>
      <c r="U1098" t="s">
        <v>41</v>
      </c>
      <c r="V1098" t="s">
        <v>296</v>
      </c>
    </row>
    <row r="1099" spans="1:22" ht="16">
      <c r="A1099" t="s">
        <v>2300</v>
      </c>
      <c r="B1099" t="s">
        <v>3062</v>
      </c>
      <c r="C1099" t="s">
        <v>768</v>
      </c>
      <c r="D1099" t="s">
        <v>3063</v>
      </c>
      <c r="E1099" t="s">
        <v>74</v>
      </c>
      <c r="F1099" t="s">
        <v>3</v>
      </c>
      <c r="G1099" t="str">
        <f>HYPERLINK("https://www.facebook.com/toyelviv/posts/pfbid02HyVHmdRrHaKvpJCV4k8sSATEQmB44tvrgpepSrJQ66Qs74jVAzPQ6qaz5ZMHUoNBl?comment_id=1453163072966275")</f>
        <v>https://www.facebook.com/toyelviv/posts/pfbid02HyVHmdRrHaKvpJCV4k8sSATEQmB44tvrgpepSrJQ66Qs74jVAzPQ6qaz5ZMHUoNBl?comment_id=1453163072966275</v>
      </c>
      <c r="H1099" t="s">
        <v>28</v>
      </c>
      <c r="I1099" t="s">
        <v>3061</v>
      </c>
      <c r="K1099" t="str">
        <f>HYPERLINK("https://www.facebook.com/100004732576202")</f>
        <v>https://www.facebook.com/100004732576202</v>
      </c>
      <c r="M1099" t="s">
        <v>30</v>
      </c>
      <c r="N1099" t="s">
        <v>31</v>
      </c>
      <c r="O1099" t="s">
        <v>1559</v>
      </c>
      <c r="P1099" t="str">
        <f>HYPERLINK("https://www.facebook.com/320892981422193")</f>
        <v>https://www.facebook.com/320892981422193</v>
      </c>
      <c r="Q1099">
        <v>293869</v>
      </c>
      <c r="R1099" t="s">
        <v>32</v>
      </c>
      <c r="S1099" t="s">
        <v>33</v>
      </c>
      <c r="T1099" t="s">
        <v>34</v>
      </c>
      <c r="U1099" t="s">
        <v>41</v>
      </c>
      <c r="V1099" t="s">
        <v>296</v>
      </c>
    </row>
    <row r="1100" spans="1:20" ht="16">
      <c r="A1100" t="s">
        <v>2300</v>
      </c>
      <c r="B1100" t="s">
        <v>3062</v>
      </c>
      <c r="C1100" t="s">
        <v>768</v>
      </c>
      <c r="D1100" t="s">
        <v>3064</v>
      </c>
      <c r="E1100" t="s">
        <v>74</v>
      </c>
      <c r="F1100" t="s">
        <v>3</v>
      </c>
      <c r="G1100" t="str">
        <f>HYPERLINK("https://www.facebook.com/toyelviv/posts/pfbid02HyVHmdRrHaKvpJCV4k8sSATEQmB44tvrgpepSrJQ66Qs74jVAzPQ6qaz5ZMHUoNBl?comment_id=1241203314121898")</f>
        <v>https://www.facebook.com/toyelviv/posts/pfbid02HyVHmdRrHaKvpJCV4k8sSATEQmB44tvrgpepSrJQ66Qs74jVAzPQ6qaz5ZMHUoNBl?comment_id=1241203314121898</v>
      </c>
      <c r="H1100" t="s">
        <v>28</v>
      </c>
      <c r="I1100" t="s">
        <v>3065</v>
      </c>
      <c r="K1100" t="str">
        <f>HYPERLINK("https://www.facebook.com/100062615131306")</f>
        <v>https://www.facebook.com/100062615131306</v>
      </c>
      <c r="M1100" t="s">
        <v>30</v>
      </c>
      <c r="N1100" t="s">
        <v>31</v>
      </c>
      <c r="O1100" t="s">
        <v>1559</v>
      </c>
      <c r="P1100" t="str">
        <f>HYPERLINK("https://www.facebook.com/320892981422193")</f>
        <v>https://www.facebook.com/320892981422193</v>
      </c>
      <c r="Q1100">
        <v>293869</v>
      </c>
      <c r="R1100" t="s">
        <v>32</v>
      </c>
      <c r="S1100" t="s">
        <v>33</v>
      </c>
      <c r="T1100" t="s">
        <v>34</v>
      </c>
    </row>
    <row r="1101" spans="1:22" ht="16">
      <c r="A1101" t="s">
        <v>2300</v>
      </c>
      <c r="B1101" t="s">
        <v>3062</v>
      </c>
      <c r="C1101" t="s">
        <v>768</v>
      </c>
      <c r="D1101" t="s">
        <v>3066</v>
      </c>
      <c r="E1101" t="s">
        <v>74</v>
      </c>
      <c r="F1101" t="s">
        <v>3</v>
      </c>
      <c r="G1101" t="str">
        <f>HYPERLINK("https://www.facebook.com/toyelviv/posts/pfbid02HyVHmdRrHaKvpJCV4k8sSATEQmB44tvrgpepSrJQ66Qs74jVAzPQ6qaz5ZMHUoNBl?comment_id=770704202779601")</f>
        <v>https://www.facebook.com/toyelviv/posts/pfbid02HyVHmdRrHaKvpJCV4k8sSATEQmB44tvrgpepSrJQ66Qs74jVAzPQ6qaz5ZMHUoNBl?comment_id=770704202779601</v>
      </c>
      <c r="H1101" t="s">
        <v>28</v>
      </c>
      <c r="I1101" t="s">
        <v>3067</v>
      </c>
      <c r="J1101" t="s">
        <v>3068</v>
      </c>
      <c r="K1101" t="str">
        <f>HYPERLINK("https://www.facebook.com/100028095723073")</f>
        <v>https://www.facebook.com/100028095723073</v>
      </c>
      <c r="M1101" t="s">
        <v>30</v>
      </c>
      <c r="N1101" t="s">
        <v>31</v>
      </c>
      <c r="O1101" t="s">
        <v>1559</v>
      </c>
      <c r="P1101" t="str">
        <f>HYPERLINK("https://www.facebook.com/320892981422193")</f>
        <v>https://www.facebook.com/320892981422193</v>
      </c>
      <c r="Q1101">
        <v>293869</v>
      </c>
      <c r="R1101" t="s">
        <v>32</v>
      </c>
      <c r="S1101" t="s">
        <v>33</v>
      </c>
      <c r="T1101" t="s">
        <v>34</v>
      </c>
      <c r="U1101" t="s">
        <v>41</v>
      </c>
      <c r="V1101" t="s">
        <v>2391</v>
      </c>
    </row>
    <row r="1102" spans="1:22" ht="16">
      <c r="A1102" t="s">
        <v>2300</v>
      </c>
      <c r="B1102" t="s">
        <v>204</v>
      </c>
      <c r="C1102" t="s">
        <v>768</v>
      </c>
      <c r="D1102" t="s">
        <v>3069</v>
      </c>
      <c r="E1102" t="s">
        <v>74</v>
      </c>
      <c r="F1102" t="s">
        <v>3</v>
      </c>
      <c r="G1102" t="str">
        <f>HYPERLINK("https://www.facebook.com/toyelviv/posts/pfbid02HyVHmdRrHaKvpJCV4k8sSATEQmB44tvrgpepSrJQ66Qs74jVAzPQ6qaz5ZMHUoNBl?comment_id=2031177600763520")</f>
        <v>https://www.facebook.com/toyelviv/posts/pfbid02HyVHmdRrHaKvpJCV4k8sSATEQmB44tvrgpepSrJQ66Qs74jVAzPQ6qaz5ZMHUoNBl?comment_id=2031177600763520</v>
      </c>
      <c r="H1102" t="s">
        <v>28</v>
      </c>
      <c r="I1102" t="s">
        <v>1601</v>
      </c>
      <c r="K1102" t="str">
        <f>HYPERLINK("https://www.facebook.com/100007678505475")</f>
        <v>https://www.facebook.com/100007678505475</v>
      </c>
      <c r="M1102" t="s">
        <v>30</v>
      </c>
      <c r="N1102" t="s">
        <v>31</v>
      </c>
      <c r="O1102" t="s">
        <v>1559</v>
      </c>
      <c r="P1102" t="str">
        <f>HYPERLINK("https://www.facebook.com/320892981422193")</f>
        <v>https://www.facebook.com/320892981422193</v>
      </c>
      <c r="Q1102">
        <v>293869</v>
      </c>
      <c r="R1102" t="s">
        <v>32</v>
      </c>
      <c r="S1102" t="s">
        <v>33</v>
      </c>
      <c r="T1102" t="s">
        <v>34</v>
      </c>
      <c r="U1102" t="s">
        <v>41</v>
      </c>
      <c r="V1102" t="s">
        <v>42</v>
      </c>
    </row>
    <row r="1103" spans="1:20" ht="16">
      <c r="A1103" t="s">
        <v>2300</v>
      </c>
      <c r="B1103" t="s">
        <v>3070</v>
      </c>
      <c r="C1103" t="s">
        <v>24</v>
      </c>
      <c r="D1103" t="s">
        <v>2007</v>
      </c>
      <c r="E1103" t="s">
        <v>45</v>
      </c>
      <c r="F1103" t="s">
        <v>281</v>
      </c>
      <c r="G1103" t="str">
        <f>HYPERLINK("https://twitter.com/Yurek_00/status/2027446892154486999")</f>
        <v>https://twitter.com/Yurek_00/status/2027446892154486999</v>
      </c>
      <c r="H1103" t="s">
        <v>28</v>
      </c>
      <c r="I1103" t="s">
        <v>3071</v>
      </c>
      <c r="J1103" t="s">
        <v>3072</v>
      </c>
      <c r="K1103" t="str">
        <f>HYPERLINK("http://twitter.com/Yurek_00")</f>
        <v>http://twitter.com/Yurek_00</v>
      </c>
      <c r="L1103">
        <v>630</v>
      </c>
      <c r="N1103" t="s">
        <v>278</v>
      </c>
      <c r="R1103" t="s">
        <v>32</v>
      </c>
      <c r="S1103" t="s">
        <v>33</v>
      </c>
      <c r="T1103" t="s">
        <v>34</v>
      </c>
    </row>
    <row r="1104" spans="1:20" ht="16">
      <c r="A1104" t="s">
        <v>2300</v>
      </c>
      <c r="B1104" t="s">
        <v>3073</v>
      </c>
      <c r="C1104" t="s">
        <v>24</v>
      </c>
      <c r="D1104" t="s">
        <v>2007</v>
      </c>
      <c r="E1104" t="s">
        <v>45</v>
      </c>
      <c r="F1104" t="s">
        <v>281</v>
      </c>
      <c r="G1104" t="str">
        <f>HYPERLINK("https://twitter.com/bezsonnya/status/2027446830468907432")</f>
        <v>https://twitter.com/bezsonnya/status/2027446830468907432</v>
      </c>
      <c r="H1104" t="s">
        <v>28</v>
      </c>
      <c r="I1104" t="s">
        <v>3074</v>
      </c>
      <c r="J1104" t="s">
        <v>3074</v>
      </c>
      <c r="K1104" t="str">
        <f>HYPERLINK("http://twitter.com/bezsonnya")</f>
        <v>http://twitter.com/bezsonnya</v>
      </c>
      <c r="L1104">
        <v>603</v>
      </c>
      <c r="N1104" t="s">
        <v>278</v>
      </c>
      <c r="R1104" t="s">
        <v>32</v>
      </c>
      <c r="S1104" t="s">
        <v>33</v>
      </c>
      <c r="T1104" t="s">
        <v>34</v>
      </c>
    </row>
    <row r="1105" spans="1:20" ht="16">
      <c r="A1105" t="s">
        <v>2300</v>
      </c>
      <c r="B1105" t="s">
        <v>3073</v>
      </c>
      <c r="C1105" t="s">
        <v>768</v>
      </c>
      <c r="D1105" t="s">
        <v>3075</v>
      </c>
      <c r="E1105" t="s">
        <v>74</v>
      </c>
      <c r="F1105" t="s">
        <v>3</v>
      </c>
      <c r="G1105" t="str">
        <f>HYPERLINK("https://www.facebook.com/toyelviv/posts/pfbid02HyVHmdRrHaKvpJCV4k8sSATEQmB44tvrgpepSrJQ66Qs74jVAzPQ6qaz5ZMHUoNBl?comment_id=1168333528548492")</f>
        <v>https://www.facebook.com/toyelviv/posts/pfbid02HyVHmdRrHaKvpJCV4k8sSATEQmB44tvrgpepSrJQ66Qs74jVAzPQ6qaz5ZMHUoNBl?comment_id=1168333528548492</v>
      </c>
      <c r="H1105" t="s">
        <v>28</v>
      </c>
      <c r="I1105" t="s">
        <v>3076</v>
      </c>
      <c r="K1105" t="str">
        <f>HYPERLINK("https://www.facebook.com/100015308567631")</f>
        <v>https://www.facebook.com/100015308567631</v>
      </c>
      <c r="L1105">
        <v>173</v>
      </c>
      <c r="M1105" t="s">
        <v>40</v>
      </c>
      <c r="N1105" t="s">
        <v>31</v>
      </c>
      <c r="O1105" t="s">
        <v>1559</v>
      </c>
      <c r="P1105" t="str">
        <f>HYPERLINK("https://www.facebook.com/320892981422193")</f>
        <v>https://www.facebook.com/320892981422193</v>
      </c>
      <c r="Q1105">
        <v>293869</v>
      </c>
      <c r="R1105" t="s">
        <v>32</v>
      </c>
      <c r="S1105" t="s">
        <v>33</v>
      </c>
      <c r="T1105" t="s">
        <v>34</v>
      </c>
    </row>
    <row r="1106" spans="1:21" ht="16">
      <c r="A1106" t="s">
        <v>2300</v>
      </c>
      <c r="B1106" t="s">
        <v>3077</v>
      </c>
      <c r="C1106" t="s">
        <v>2380</v>
      </c>
      <c r="D1106" t="s">
        <v>3078</v>
      </c>
      <c r="E1106" t="s">
        <v>74</v>
      </c>
      <c r="F1106" t="s">
        <v>3</v>
      </c>
      <c r="G1106" t="str">
        <f>HYPERLINK("https://www.facebook.com/groups/freeproskuriv/posts/3332742730208675/?comment_id=3332802080202740")</f>
        <v>https://www.facebook.com/groups/freeproskuriv/posts/3332742730208675/?comment_id=3332802080202740</v>
      </c>
      <c r="H1106" t="s">
        <v>28</v>
      </c>
      <c r="I1106" t="s">
        <v>3079</v>
      </c>
      <c r="K1106" t="str">
        <f>HYPERLINK("https://www.facebook.com/100001709886438")</f>
        <v>https://www.facebook.com/100001709886438</v>
      </c>
      <c r="M1106" t="s">
        <v>40</v>
      </c>
      <c r="N1106" t="s">
        <v>31</v>
      </c>
      <c r="O1106" t="s">
        <v>2383</v>
      </c>
      <c r="P1106" t="str">
        <f>HYPERLINK("https://www.facebook.com/606259306190378")</f>
        <v>https://www.facebook.com/606259306190378</v>
      </c>
      <c r="Q1106">
        <v>3386</v>
      </c>
      <c r="R1106" t="s">
        <v>32</v>
      </c>
      <c r="S1106" t="s">
        <v>85</v>
      </c>
      <c r="T1106" t="s">
        <v>34</v>
      </c>
      <c r="U1106" t="s">
        <v>542</v>
      </c>
    </row>
    <row r="1107" spans="1:22" ht="16">
      <c r="A1107" t="s">
        <v>2300</v>
      </c>
      <c r="B1107" t="s">
        <v>3077</v>
      </c>
      <c r="C1107" t="s">
        <v>768</v>
      </c>
      <c r="D1107" t="s">
        <v>3080</v>
      </c>
      <c r="E1107" t="s">
        <v>74</v>
      </c>
      <c r="F1107" t="s">
        <v>3</v>
      </c>
      <c r="G1107" t="str">
        <f>HYPERLINK("https://www.facebook.com/toyelviv/posts/pfbid02HyVHmdRrHaKvpJCV4k8sSATEQmB44tvrgpepSrJQ66Qs74jVAzPQ6qaz5ZMHUoNBl?comment_id=2035691483674279")</f>
        <v>https://www.facebook.com/toyelviv/posts/pfbid02HyVHmdRrHaKvpJCV4k8sSATEQmB44tvrgpepSrJQ66Qs74jVAzPQ6qaz5ZMHUoNBl?comment_id=2035691483674279</v>
      </c>
      <c r="H1107" t="s">
        <v>28</v>
      </c>
      <c r="I1107" t="s">
        <v>3081</v>
      </c>
      <c r="J1107" t="s">
        <v>3082</v>
      </c>
      <c r="K1107" t="str">
        <f>HYPERLINK("https://www.facebook.com/100000672092221")</f>
        <v>https://www.facebook.com/100000672092221</v>
      </c>
      <c r="L1107">
        <v>2</v>
      </c>
      <c r="M1107" t="s">
        <v>40</v>
      </c>
      <c r="N1107" t="s">
        <v>31</v>
      </c>
      <c r="O1107" t="s">
        <v>1559</v>
      </c>
      <c r="P1107" t="str">
        <f>HYPERLINK("https://www.facebook.com/320892981422193")</f>
        <v>https://www.facebook.com/320892981422193</v>
      </c>
      <c r="Q1107">
        <v>293869</v>
      </c>
      <c r="R1107" t="s">
        <v>32</v>
      </c>
      <c r="S1107" t="s">
        <v>33</v>
      </c>
      <c r="T1107" t="s">
        <v>34</v>
      </c>
      <c r="U1107" t="s">
        <v>41</v>
      </c>
      <c r="V1107" t="s">
        <v>42</v>
      </c>
    </row>
    <row r="1108" spans="1:19" ht="16">
      <c r="A1108" t="s">
        <v>2300</v>
      </c>
      <c r="B1108" t="s">
        <v>3077</v>
      </c>
      <c r="C1108" t="s">
        <v>24</v>
      </c>
      <c r="D1108" t="s">
        <v>2007</v>
      </c>
      <c r="E1108" t="s">
        <v>45</v>
      </c>
      <c r="F1108" t="s">
        <v>281</v>
      </c>
      <c r="G1108" t="str">
        <f>HYPERLINK("https://twitter.com/i_toId_u_so/status/2027446499945177275")</f>
        <v>https://twitter.com/i_toId_u_so/status/2027446499945177275</v>
      </c>
      <c r="H1108" t="s">
        <v>28</v>
      </c>
      <c r="I1108" t="s">
        <v>3083</v>
      </c>
      <c r="J1108" t="s">
        <v>3084</v>
      </c>
      <c r="K1108" t="str">
        <f>HYPERLINK("http://twitter.com/i_toId_u_so")</f>
        <v>http://twitter.com/i_toId_u_so</v>
      </c>
      <c r="L1108">
        <v>1235</v>
      </c>
      <c r="N1108" t="s">
        <v>278</v>
      </c>
      <c r="R1108" t="s">
        <v>32</v>
      </c>
      <c r="S1108" t="s">
        <v>33</v>
      </c>
    </row>
    <row r="1109" spans="1:22" ht="16">
      <c r="A1109" t="s">
        <v>2300</v>
      </c>
      <c r="B1109" t="s">
        <v>3077</v>
      </c>
      <c r="C1109" t="s">
        <v>768</v>
      </c>
      <c r="D1109" t="s">
        <v>3085</v>
      </c>
      <c r="E1109" t="s">
        <v>74</v>
      </c>
      <c r="F1109" t="s">
        <v>3</v>
      </c>
      <c r="G1109" t="str">
        <f>HYPERLINK("https://www.facebook.com/toyelviv/posts/pfbid02HyVHmdRrHaKvpJCV4k8sSATEQmB44tvrgpepSrJQ66Qs74jVAzPQ6qaz5ZMHUoNBl?comment_id=922377624084361")</f>
        <v>https://www.facebook.com/toyelviv/posts/pfbid02HyVHmdRrHaKvpJCV4k8sSATEQmB44tvrgpepSrJQ66Qs74jVAzPQ6qaz5ZMHUoNBl?comment_id=922377624084361</v>
      </c>
      <c r="H1109" t="s">
        <v>28</v>
      </c>
      <c r="I1109" t="s">
        <v>3086</v>
      </c>
      <c r="K1109" t="str">
        <f>HYPERLINK("https://www.facebook.com/100006149108430")</f>
        <v>https://www.facebook.com/100006149108430</v>
      </c>
      <c r="M1109" t="s">
        <v>40</v>
      </c>
      <c r="N1109" t="s">
        <v>31</v>
      </c>
      <c r="O1109" t="s">
        <v>1559</v>
      </c>
      <c r="P1109" t="str">
        <f>HYPERLINK("https://www.facebook.com/320892981422193")</f>
        <v>https://www.facebook.com/320892981422193</v>
      </c>
      <c r="Q1109">
        <v>293869</v>
      </c>
      <c r="R1109" t="s">
        <v>32</v>
      </c>
      <c r="S1109" t="s">
        <v>85</v>
      </c>
      <c r="T1109" t="s">
        <v>34</v>
      </c>
      <c r="U1109" t="s">
        <v>408</v>
      </c>
      <c r="V1109" t="s">
        <v>3087</v>
      </c>
    </row>
    <row r="1110" spans="1:20" ht="16">
      <c r="A1110" t="s">
        <v>2300</v>
      </c>
      <c r="B1110" t="s">
        <v>3088</v>
      </c>
      <c r="C1110" t="s">
        <v>24</v>
      </c>
      <c r="D1110" t="s">
        <v>2007</v>
      </c>
      <c r="E1110" t="s">
        <v>45</v>
      </c>
      <c r="F1110" t="s">
        <v>281</v>
      </c>
      <c r="G1110" t="str">
        <f>HYPERLINK("https://twitter.com/muramori/status/2027446362640421239")</f>
        <v>https://twitter.com/muramori/status/2027446362640421239</v>
      </c>
      <c r="H1110" t="s">
        <v>28</v>
      </c>
      <c r="I1110" t="s">
        <v>3089</v>
      </c>
      <c r="J1110" t="s">
        <v>3090</v>
      </c>
      <c r="K1110" t="str">
        <f>HYPERLINK("http://twitter.com/muramori")</f>
        <v>http://twitter.com/muramori</v>
      </c>
      <c r="L1110">
        <v>573</v>
      </c>
      <c r="M1110" t="s">
        <v>40</v>
      </c>
      <c r="N1110" t="s">
        <v>278</v>
      </c>
      <c r="R1110" t="s">
        <v>32</v>
      </c>
      <c r="S1110" t="s">
        <v>33</v>
      </c>
      <c r="T1110" t="s">
        <v>34</v>
      </c>
    </row>
    <row r="1111" spans="1:22" ht="16">
      <c r="A1111" t="s">
        <v>2300</v>
      </c>
      <c r="B1111" t="s">
        <v>3088</v>
      </c>
      <c r="C1111" t="s">
        <v>768</v>
      </c>
      <c r="D1111" t="s">
        <v>3091</v>
      </c>
      <c r="E1111" t="s">
        <v>74</v>
      </c>
      <c r="F1111" t="s">
        <v>3</v>
      </c>
      <c r="G1111" t="str">
        <f>HYPERLINK("https://www.facebook.com/toyelviv/posts/pfbid02HyVHmdRrHaKvpJCV4k8sSATEQmB44tvrgpepSrJQ66Qs74jVAzPQ6qaz5ZMHUoNBl?comment_id=1811872506160676")</f>
        <v>https://www.facebook.com/toyelviv/posts/pfbid02HyVHmdRrHaKvpJCV4k8sSATEQmB44tvrgpepSrJQ66Qs74jVAzPQ6qaz5ZMHUoNBl?comment_id=1811872506160676</v>
      </c>
      <c r="H1111" t="s">
        <v>28</v>
      </c>
      <c r="I1111" t="s">
        <v>3092</v>
      </c>
      <c r="J1111" t="s">
        <v>3093</v>
      </c>
      <c r="K1111" t="str">
        <f>HYPERLINK("https://www.facebook.com/100015211480741")</f>
        <v>https://www.facebook.com/100015211480741</v>
      </c>
      <c r="M1111" t="s">
        <v>30</v>
      </c>
      <c r="N1111" t="s">
        <v>31</v>
      </c>
      <c r="O1111" t="s">
        <v>1559</v>
      </c>
      <c r="P1111" t="str">
        <f>HYPERLINK("https://www.facebook.com/320892981422193")</f>
        <v>https://www.facebook.com/320892981422193</v>
      </c>
      <c r="Q1111">
        <v>293869</v>
      </c>
      <c r="R1111" t="s">
        <v>32</v>
      </c>
      <c r="S1111" t="s">
        <v>33</v>
      </c>
      <c r="T1111" t="s">
        <v>86</v>
      </c>
      <c r="U1111" t="s">
        <v>127</v>
      </c>
      <c r="V1111" t="s">
        <v>3094</v>
      </c>
    </row>
    <row r="1112" spans="1:20" ht="16">
      <c r="A1112" t="s">
        <v>2300</v>
      </c>
      <c r="B1112" t="s">
        <v>3088</v>
      </c>
      <c r="C1112" t="s">
        <v>768</v>
      </c>
      <c r="D1112" t="s">
        <v>3095</v>
      </c>
      <c r="E1112" t="s">
        <v>74</v>
      </c>
      <c r="F1112" t="s">
        <v>3</v>
      </c>
      <c r="G1112" t="str">
        <f>HYPERLINK("https://www.facebook.com/toyelviv/posts/pfbid02HyVHmdRrHaKvpJCV4k8sSATEQmB44tvrgpepSrJQ66Qs74jVAzPQ6qaz5ZMHUoNBl?comment_id=915668537515922&amp;reply_comment_id=1824772188183247")</f>
        <v>https://www.facebook.com/toyelviv/posts/pfbid02HyVHmdRrHaKvpJCV4k8sSATEQmB44tvrgpepSrJQ66Qs74jVAzPQ6qaz5ZMHUoNBl?comment_id=915668537515922&amp;reply_comment_id=1824772188183247</v>
      </c>
      <c r="H1112" t="s">
        <v>28</v>
      </c>
      <c r="I1112" t="s">
        <v>3096</v>
      </c>
      <c r="K1112" t="str">
        <f>HYPERLINK("https://www.facebook.com/100086393839039")</f>
        <v>https://www.facebook.com/100086393839039</v>
      </c>
      <c r="M1112" t="s">
        <v>40</v>
      </c>
      <c r="N1112" t="s">
        <v>31</v>
      </c>
      <c r="O1112" t="s">
        <v>1559</v>
      </c>
      <c r="P1112" t="str">
        <f>HYPERLINK("https://www.facebook.com/320892981422193")</f>
        <v>https://www.facebook.com/320892981422193</v>
      </c>
      <c r="Q1112">
        <v>293869</v>
      </c>
      <c r="R1112" t="s">
        <v>32</v>
      </c>
      <c r="S1112" t="s">
        <v>85</v>
      </c>
      <c r="T1112" t="s">
        <v>34</v>
      </c>
    </row>
    <row r="1113" spans="1:20" ht="16">
      <c r="A1113" t="s">
        <v>2300</v>
      </c>
      <c r="B1113" t="s">
        <v>3088</v>
      </c>
      <c r="C1113" t="s">
        <v>24</v>
      </c>
      <c r="D1113" t="s">
        <v>2007</v>
      </c>
      <c r="E1113" t="s">
        <v>45</v>
      </c>
      <c r="F1113" t="s">
        <v>281</v>
      </c>
      <c r="G1113" t="str">
        <f>HYPERLINK("https://twitter.com/ann_rattie/status/2027446148613492848")</f>
        <v>https://twitter.com/ann_rattie/status/2027446148613492848</v>
      </c>
      <c r="H1113" t="s">
        <v>28</v>
      </c>
      <c r="I1113" t="s">
        <v>3097</v>
      </c>
      <c r="J1113" t="s">
        <v>3098</v>
      </c>
      <c r="K1113" t="str">
        <f>HYPERLINK("http://twitter.com/ann_rattie")</f>
        <v>http://twitter.com/ann_rattie</v>
      </c>
      <c r="L1113">
        <v>3256</v>
      </c>
      <c r="N1113" t="s">
        <v>278</v>
      </c>
      <c r="R1113" t="s">
        <v>32</v>
      </c>
      <c r="S1113" t="s">
        <v>33</v>
      </c>
      <c r="T1113" t="s">
        <v>192</v>
      </c>
    </row>
    <row r="1114" spans="1:22" ht="16">
      <c r="A1114" t="s">
        <v>2300</v>
      </c>
      <c r="B1114" t="s">
        <v>3099</v>
      </c>
      <c r="C1114" t="s">
        <v>768</v>
      </c>
      <c r="D1114" t="s">
        <v>3100</v>
      </c>
      <c r="E1114" t="s">
        <v>74</v>
      </c>
      <c r="F1114" t="s">
        <v>3</v>
      </c>
      <c r="G1114" t="str">
        <f>HYPERLINK("https://www.facebook.com/toyelviv/posts/pfbid02HyVHmdRrHaKvpJCV4k8sSATEQmB44tvrgpepSrJQ66Qs74jVAzPQ6qaz5ZMHUoNBl?comment_id=915668537515922")</f>
        <v>https://www.facebook.com/toyelviv/posts/pfbid02HyVHmdRrHaKvpJCV4k8sSATEQmB44tvrgpepSrJQ66Qs74jVAzPQ6qaz5ZMHUoNBl?comment_id=915668537515922</v>
      </c>
      <c r="H1114" t="s">
        <v>28</v>
      </c>
      <c r="I1114" t="s">
        <v>3101</v>
      </c>
      <c r="K1114" t="str">
        <f>HYPERLINK("https://www.facebook.com/61560812111496")</f>
        <v>https://www.facebook.com/61560812111496</v>
      </c>
      <c r="M1114" t="s">
        <v>30</v>
      </c>
      <c r="N1114" t="s">
        <v>31</v>
      </c>
      <c r="O1114" t="s">
        <v>1559</v>
      </c>
      <c r="P1114" t="str">
        <f>HYPERLINK("https://www.facebook.com/320892981422193")</f>
        <v>https://www.facebook.com/320892981422193</v>
      </c>
      <c r="Q1114">
        <v>293869</v>
      </c>
      <c r="R1114" t="s">
        <v>32</v>
      </c>
      <c r="S1114" t="s">
        <v>85</v>
      </c>
      <c r="T1114" t="s">
        <v>86</v>
      </c>
      <c r="U1114" t="s">
        <v>2231</v>
      </c>
      <c r="V1114" t="s">
        <v>2231</v>
      </c>
    </row>
    <row r="1115" spans="1:20" ht="16">
      <c r="A1115" t="s">
        <v>2300</v>
      </c>
      <c r="B1115" t="s">
        <v>3099</v>
      </c>
      <c r="C1115" t="s">
        <v>24</v>
      </c>
      <c r="D1115" t="s">
        <v>2276</v>
      </c>
      <c r="E1115" t="s">
        <v>45</v>
      </c>
      <c r="F1115" t="s">
        <v>3</v>
      </c>
      <c r="G1115" t="str">
        <f>HYPERLINK("https://twitter.com/povodyr1/status/2027445971752226956")</f>
        <v>https://twitter.com/povodyr1/status/2027445971752226956</v>
      </c>
      <c r="H1115" t="s">
        <v>28</v>
      </c>
      <c r="I1115" t="s">
        <v>3102</v>
      </c>
      <c r="J1115" t="s">
        <v>3103</v>
      </c>
      <c r="K1115" t="str">
        <f>HYPERLINK("http://twitter.com/povodyr1")</f>
        <v>http://twitter.com/povodyr1</v>
      </c>
      <c r="L1115">
        <v>1942</v>
      </c>
      <c r="N1115" t="s">
        <v>278</v>
      </c>
      <c r="R1115" t="s">
        <v>32</v>
      </c>
      <c r="S1115" t="s">
        <v>33</v>
      </c>
      <c r="T1115" t="s">
        <v>34</v>
      </c>
    </row>
    <row r="1116" spans="1:22" ht="16">
      <c r="A1116" t="s">
        <v>2300</v>
      </c>
      <c r="B1116" t="s">
        <v>3099</v>
      </c>
      <c r="C1116" t="s">
        <v>80</v>
      </c>
      <c r="D1116" t="s">
        <v>3104</v>
      </c>
      <c r="E1116" t="s">
        <v>74</v>
      </c>
      <c r="F1116" t="s">
        <v>3</v>
      </c>
      <c r="G1116" t="str">
        <f>HYPERLINK("https://www.facebook.com/Yullita74/posts/pfbid02BZjihkK27iqC5RwM64mnjUDovVzxkgDhp5G4AQtRSsVRU4RyvTBpKYigtyDmfmQsl?comment_id=2645360602500741")</f>
        <v>https://www.facebook.com/Yullita74/posts/pfbid02BZjihkK27iqC5RwM64mnjUDovVzxkgDhp5G4AQtRSsVRU4RyvTBpKYigtyDmfmQsl?comment_id=2645360602500741</v>
      </c>
      <c r="H1116" t="s">
        <v>28</v>
      </c>
      <c r="I1116" t="s">
        <v>3105</v>
      </c>
      <c r="K1116" t="str">
        <f>HYPERLINK("https://www.facebook.com/100042901669823")</f>
        <v>https://www.facebook.com/100042901669823</v>
      </c>
      <c r="L1116">
        <v>57</v>
      </c>
      <c r="M1116" t="s">
        <v>40</v>
      </c>
      <c r="N1116" t="s">
        <v>31</v>
      </c>
      <c r="O1116" t="s">
        <v>2426</v>
      </c>
      <c r="P1116" t="str">
        <f>HYPERLINK("https://www.facebook.com/100001450230363")</f>
        <v>https://www.facebook.com/100001450230363</v>
      </c>
      <c r="R1116" t="s">
        <v>32</v>
      </c>
      <c r="S1116" t="s">
        <v>57</v>
      </c>
      <c r="T1116" t="s">
        <v>34</v>
      </c>
      <c r="U1116" t="s">
        <v>58</v>
      </c>
      <c r="V1116" t="s">
        <v>58</v>
      </c>
    </row>
    <row r="1117" spans="1:22" ht="16">
      <c r="A1117" t="s">
        <v>2300</v>
      </c>
      <c r="B1117" t="s">
        <v>3099</v>
      </c>
      <c r="C1117" t="s">
        <v>768</v>
      </c>
      <c r="D1117" t="s">
        <v>3106</v>
      </c>
      <c r="E1117" t="s">
        <v>74</v>
      </c>
      <c r="F1117" t="s">
        <v>3</v>
      </c>
      <c r="G1117" t="str">
        <f>HYPERLINK("https://www.facebook.com/toyelviv/posts/pfbid02HyVHmdRrHaKvpJCV4k8sSATEQmB44tvrgpepSrJQ66Qs74jVAzPQ6qaz5ZMHUoNBl?comment_id=3837515703063863")</f>
        <v>https://www.facebook.com/toyelviv/posts/pfbid02HyVHmdRrHaKvpJCV4k8sSATEQmB44tvrgpepSrJQ66Qs74jVAzPQ6qaz5ZMHUoNBl?comment_id=3837515703063863</v>
      </c>
      <c r="H1117" t="s">
        <v>28</v>
      </c>
      <c r="I1117" t="s">
        <v>3107</v>
      </c>
      <c r="K1117" t="str">
        <f>HYPERLINK("https://www.facebook.com/61575689951454")</f>
        <v>https://www.facebook.com/61575689951454</v>
      </c>
      <c r="M1117" t="s">
        <v>30</v>
      </c>
      <c r="N1117" t="s">
        <v>31</v>
      </c>
      <c r="O1117" t="s">
        <v>1559</v>
      </c>
      <c r="P1117" t="str">
        <f>HYPERLINK("https://www.facebook.com/320892981422193")</f>
        <v>https://www.facebook.com/320892981422193</v>
      </c>
      <c r="Q1117">
        <v>293869</v>
      </c>
      <c r="R1117" t="s">
        <v>32</v>
      </c>
      <c r="S1117" t="s">
        <v>33</v>
      </c>
      <c r="T1117" t="s">
        <v>34</v>
      </c>
      <c r="U1117" t="s">
        <v>41</v>
      </c>
      <c r="V1117" t="s">
        <v>42</v>
      </c>
    </row>
    <row r="1118" spans="1:19" ht="16">
      <c r="A1118" t="s">
        <v>2300</v>
      </c>
      <c r="B1118" t="s">
        <v>3108</v>
      </c>
      <c r="C1118" t="s">
        <v>24</v>
      </c>
      <c r="D1118" t="s">
        <v>2251</v>
      </c>
      <c r="E1118" t="s">
        <v>45</v>
      </c>
      <c r="F1118" t="s">
        <v>1977</v>
      </c>
      <c r="G1118" t="str">
        <f>HYPERLINK("https://www.threads.net/@rakhman.vadim/post/DVRVerPjVZO")</f>
        <v>https://www.threads.net/@rakhman.vadim/post/DVRVerPjVZO</v>
      </c>
      <c r="H1118" t="s">
        <v>28</v>
      </c>
      <c r="I1118" t="s">
        <v>3109</v>
      </c>
      <c r="J1118" t="s">
        <v>3110</v>
      </c>
      <c r="K1118" t="str">
        <f>HYPERLINK("https://www.threads.net/@rakhman.vadim")</f>
        <v>https://www.threads.net/@rakhman.vadim</v>
      </c>
      <c r="M1118" t="s">
        <v>40</v>
      </c>
      <c r="N1118" t="s">
        <v>1980</v>
      </c>
      <c r="R1118" t="s">
        <v>32</v>
      </c>
      <c r="S1118" t="s">
        <v>33</v>
      </c>
    </row>
    <row r="1119" spans="1:20" ht="16">
      <c r="A1119" t="s">
        <v>2300</v>
      </c>
      <c r="B1119" t="s">
        <v>3108</v>
      </c>
      <c r="C1119" t="s">
        <v>24</v>
      </c>
      <c r="D1119" t="s">
        <v>2007</v>
      </c>
      <c r="E1119" t="s">
        <v>45</v>
      </c>
      <c r="F1119" t="s">
        <v>281</v>
      </c>
      <c r="G1119" t="str">
        <f>HYPERLINK("https://twitter.com/GarikZaZa/status/2027445785911066647")</f>
        <v>https://twitter.com/GarikZaZa/status/2027445785911066647</v>
      </c>
      <c r="H1119" t="s">
        <v>28</v>
      </c>
      <c r="I1119" t="s">
        <v>3111</v>
      </c>
      <c r="J1119" t="s">
        <v>3112</v>
      </c>
      <c r="K1119" t="str">
        <f>HYPERLINK("http://twitter.com/GarikZaZa")</f>
        <v>http://twitter.com/GarikZaZa</v>
      </c>
      <c r="L1119">
        <v>216</v>
      </c>
      <c r="M1119" t="s">
        <v>40</v>
      </c>
      <c r="N1119" t="s">
        <v>278</v>
      </c>
      <c r="R1119" t="s">
        <v>32</v>
      </c>
      <c r="S1119" t="s">
        <v>33</v>
      </c>
      <c r="T1119" t="s">
        <v>34</v>
      </c>
    </row>
    <row r="1120" spans="1:22" ht="16">
      <c r="A1120" t="s">
        <v>2300</v>
      </c>
      <c r="B1120" t="s">
        <v>3108</v>
      </c>
      <c r="C1120" t="s">
        <v>768</v>
      </c>
      <c r="D1120" t="s">
        <v>3113</v>
      </c>
      <c r="E1120" t="s">
        <v>74</v>
      </c>
      <c r="F1120" t="s">
        <v>3</v>
      </c>
      <c r="G1120" t="str">
        <f>HYPERLINK("https://www.facebook.com/toyelviv/posts/pfbid02HyVHmdRrHaKvpJCV4k8sSATEQmB44tvrgpepSrJQ66Qs74jVAzPQ6qaz5ZMHUoNBl?comment_id=1799154560765498")</f>
        <v>https://www.facebook.com/toyelviv/posts/pfbid02HyVHmdRrHaKvpJCV4k8sSATEQmB44tvrgpepSrJQ66Qs74jVAzPQ6qaz5ZMHUoNBl?comment_id=1799154560765498</v>
      </c>
      <c r="H1120" t="s">
        <v>28</v>
      </c>
      <c r="I1120" t="s">
        <v>3114</v>
      </c>
      <c r="K1120" t="str">
        <f>HYPERLINK("https://www.facebook.com/100064869157292")</f>
        <v>https://www.facebook.com/100064869157292</v>
      </c>
      <c r="M1120" t="s">
        <v>30</v>
      </c>
      <c r="N1120" t="s">
        <v>31</v>
      </c>
      <c r="O1120" t="s">
        <v>1559</v>
      </c>
      <c r="P1120" t="str">
        <f>HYPERLINK("https://www.facebook.com/320892981422193")</f>
        <v>https://www.facebook.com/320892981422193</v>
      </c>
      <c r="Q1120">
        <v>293869</v>
      </c>
      <c r="R1120" t="s">
        <v>32</v>
      </c>
      <c r="S1120" t="s">
        <v>33</v>
      </c>
      <c r="T1120" t="s">
        <v>62</v>
      </c>
      <c r="U1120" t="s">
        <v>3115</v>
      </c>
      <c r="V1120" t="s">
        <v>3116</v>
      </c>
    </row>
    <row r="1121" spans="1:22" ht="16">
      <c r="A1121" t="s">
        <v>2300</v>
      </c>
      <c r="B1121" t="s">
        <v>3117</v>
      </c>
      <c r="C1121" t="s">
        <v>24</v>
      </c>
      <c r="D1121" t="s">
        <v>2497</v>
      </c>
      <c r="E1121" t="s">
        <v>45</v>
      </c>
      <c r="F1121" t="s">
        <v>46</v>
      </c>
      <c r="G1121" t="str">
        <f>HYPERLINK("https://www.facebook.com/1709418106687951")</f>
        <v>https://www.facebook.com/1709418106687951</v>
      </c>
      <c r="H1121" t="s">
        <v>28</v>
      </c>
      <c r="I1121" t="s">
        <v>107</v>
      </c>
      <c r="K1121" t="str">
        <f>HYPERLINK("https://www.facebook.com/100028593340520")</f>
        <v>https://www.facebook.com/100028593340520</v>
      </c>
      <c r="M1121" t="s">
        <v>40</v>
      </c>
      <c r="N1121" t="s">
        <v>31</v>
      </c>
      <c r="O1121" t="s">
        <v>107</v>
      </c>
      <c r="P1121" t="str">
        <f>HYPERLINK("https://www.facebook.com/100028593340520")</f>
        <v>https://www.facebook.com/100028593340520</v>
      </c>
      <c r="R1121" t="s">
        <v>32</v>
      </c>
      <c r="S1121" t="s">
        <v>33</v>
      </c>
      <c r="T1121" t="s">
        <v>108</v>
      </c>
      <c r="U1121" t="s">
        <v>109</v>
      </c>
      <c r="V1121" t="s">
        <v>110</v>
      </c>
    </row>
    <row r="1122" spans="1:22" ht="16">
      <c r="A1122" t="s">
        <v>2300</v>
      </c>
      <c r="B1122" t="s">
        <v>3117</v>
      </c>
      <c r="C1122" t="s">
        <v>768</v>
      </c>
      <c r="D1122" t="s">
        <v>3118</v>
      </c>
      <c r="E1122" t="s">
        <v>74</v>
      </c>
      <c r="F1122" t="s">
        <v>3</v>
      </c>
      <c r="G1122" t="str">
        <f>HYPERLINK("https://www.facebook.com/toyelviv/posts/pfbid02HyVHmdRrHaKvpJCV4k8sSATEQmB44tvrgpepSrJQ66Qs74jVAzPQ6qaz5ZMHUoNBl?comment_id=1441862717492117")</f>
        <v>https://www.facebook.com/toyelviv/posts/pfbid02HyVHmdRrHaKvpJCV4k8sSATEQmB44tvrgpepSrJQ66Qs74jVAzPQ6qaz5ZMHUoNBl?comment_id=1441862717492117</v>
      </c>
      <c r="H1122" t="s">
        <v>28</v>
      </c>
      <c r="I1122" t="s">
        <v>3119</v>
      </c>
      <c r="K1122" t="str">
        <f>HYPERLINK("https://www.facebook.com/100034209491858")</f>
        <v>https://www.facebook.com/100034209491858</v>
      </c>
      <c r="L1122">
        <v>189</v>
      </c>
      <c r="M1122" t="s">
        <v>30</v>
      </c>
      <c r="N1122" t="s">
        <v>31</v>
      </c>
      <c r="O1122" t="s">
        <v>1559</v>
      </c>
      <c r="P1122" t="str">
        <f>HYPERLINK("https://www.facebook.com/320892981422193")</f>
        <v>https://www.facebook.com/320892981422193</v>
      </c>
      <c r="Q1122">
        <v>293869</v>
      </c>
      <c r="R1122" t="s">
        <v>32</v>
      </c>
      <c r="S1122" t="s">
        <v>85</v>
      </c>
      <c r="T1122" t="s">
        <v>34</v>
      </c>
      <c r="U1122" t="s">
        <v>41</v>
      </c>
      <c r="V1122" t="s">
        <v>42</v>
      </c>
    </row>
    <row r="1123" spans="1:19" ht="16">
      <c r="A1123" t="s">
        <v>2300</v>
      </c>
      <c r="B1123" t="s">
        <v>3120</v>
      </c>
      <c r="C1123" t="s">
        <v>24</v>
      </c>
      <c r="D1123" t="s">
        <v>2251</v>
      </c>
      <c r="E1123" t="s">
        <v>45</v>
      </c>
      <c r="F1123" t="s">
        <v>1977</v>
      </c>
      <c r="G1123" t="str">
        <f>HYPERLINK("https://www.threads.net/@masayuki_de/post/DVRVG7kjRw9")</f>
        <v>https://www.threads.net/@masayuki_de/post/DVRVG7kjRw9</v>
      </c>
      <c r="H1123" t="s">
        <v>28</v>
      </c>
      <c r="I1123" t="s">
        <v>3121</v>
      </c>
      <c r="J1123" t="s">
        <v>3122</v>
      </c>
      <c r="K1123" t="str">
        <f>HYPERLINK("https://www.threads.net/@masayuki_de")</f>
        <v>https://www.threads.net/@masayuki_de</v>
      </c>
      <c r="L1123">
        <v>4</v>
      </c>
      <c r="N1123" t="s">
        <v>1980</v>
      </c>
      <c r="R1123" t="s">
        <v>32</v>
      </c>
      <c r="S1123" t="s">
        <v>33</v>
      </c>
    </row>
    <row r="1124" spans="1:20" ht="16">
      <c r="A1124" t="s">
        <v>2300</v>
      </c>
      <c r="B1124" t="s">
        <v>1159</v>
      </c>
      <c r="C1124" t="s">
        <v>24</v>
      </c>
      <c r="D1124" t="s">
        <v>2276</v>
      </c>
      <c r="E1124" t="s">
        <v>45</v>
      </c>
      <c r="F1124" t="s">
        <v>3</v>
      </c>
      <c r="G1124" t="str">
        <f>HYPERLINK("https://twitter.com/IRIN_av777/status/2027444860827898265")</f>
        <v>https://twitter.com/IRIN_av777/status/2027444860827898265</v>
      </c>
      <c r="H1124" t="s">
        <v>28</v>
      </c>
      <c r="I1124" t="s">
        <v>3123</v>
      </c>
      <c r="J1124" t="s">
        <v>3124</v>
      </c>
      <c r="K1124" t="str">
        <f>HYPERLINK("http://twitter.com/IRIN_av777")</f>
        <v>http://twitter.com/IRIN_av777</v>
      </c>
      <c r="L1124">
        <v>215</v>
      </c>
      <c r="N1124" t="s">
        <v>278</v>
      </c>
      <c r="R1124" t="s">
        <v>32</v>
      </c>
      <c r="S1124" t="s">
        <v>33</v>
      </c>
      <c r="T1124" t="s">
        <v>34</v>
      </c>
    </row>
    <row r="1125" spans="1:22" ht="16">
      <c r="A1125" t="s">
        <v>2300</v>
      </c>
      <c r="B1125" t="s">
        <v>1159</v>
      </c>
      <c r="C1125" t="s">
        <v>80</v>
      </c>
      <c r="D1125" t="s">
        <v>3125</v>
      </c>
      <c r="E1125" t="s">
        <v>74</v>
      </c>
      <c r="F1125" t="s">
        <v>3</v>
      </c>
      <c r="G1125" t="str">
        <f>HYPERLINK("https://www.facebook.com/Yullita74/posts/pfbid02BZjihkK27iqC5RwM64mnjUDovVzxkgDhp5G4AQtRSsVRU4RyvTBpKYigtyDmfmQsl?comment_id=912021978111865&amp;reply_comment_id=1924911265569363")</f>
        <v>https://www.facebook.com/Yullita74/posts/pfbid02BZjihkK27iqC5RwM64mnjUDovVzxkgDhp5G4AQtRSsVRU4RyvTBpKYigtyDmfmQsl?comment_id=912021978111865&amp;reply_comment_id=1924911265569363</v>
      </c>
      <c r="H1125" t="s">
        <v>28</v>
      </c>
      <c r="I1125" t="s">
        <v>3126</v>
      </c>
      <c r="K1125" t="str">
        <f>HYPERLINK("https://www.facebook.com/100034105759137")</f>
        <v>https://www.facebook.com/100034105759137</v>
      </c>
      <c r="M1125" t="s">
        <v>30</v>
      </c>
      <c r="N1125" t="s">
        <v>31</v>
      </c>
      <c r="O1125" t="s">
        <v>2426</v>
      </c>
      <c r="P1125" t="str">
        <f>HYPERLINK("https://www.facebook.com/100001450230363")</f>
        <v>https://www.facebook.com/100001450230363</v>
      </c>
      <c r="R1125" t="s">
        <v>32</v>
      </c>
      <c r="S1125" t="s">
        <v>85</v>
      </c>
      <c r="T1125" t="s">
        <v>34</v>
      </c>
      <c r="U1125" t="s">
        <v>58</v>
      </c>
      <c r="V1125" t="s">
        <v>58</v>
      </c>
    </row>
    <row r="1126" spans="1:22" ht="16">
      <c r="A1126" t="s">
        <v>2300</v>
      </c>
      <c r="B1126" t="s">
        <v>209</v>
      </c>
      <c r="C1126" t="s">
        <v>768</v>
      </c>
      <c r="D1126" t="s">
        <v>3127</v>
      </c>
      <c r="E1126" t="s">
        <v>74</v>
      </c>
      <c r="F1126" t="s">
        <v>102</v>
      </c>
      <c r="G1126" t="str">
        <f>HYPERLINK("https://www.facebook.com/toyelviv/posts/pfbid02HyVHmdRrHaKvpJCV4k8sSATEQmB44tvrgpepSrJQ66Qs74jVAzPQ6qaz5ZMHUoNBl?comment_id=26185219774404940")</f>
        <v>https://www.facebook.com/toyelviv/posts/pfbid02HyVHmdRrHaKvpJCV4k8sSATEQmB44tvrgpepSrJQ66Qs74jVAzPQ6qaz5ZMHUoNBl?comment_id=26185219774404940</v>
      </c>
      <c r="H1126" t="s">
        <v>28</v>
      </c>
      <c r="I1126" t="s">
        <v>3128</v>
      </c>
      <c r="J1126" t="s">
        <v>3129</v>
      </c>
      <c r="K1126" t="str">
        <f>HYPERLINK("https://www.facebook.com/1035897273")</f>
        <v>https://www.facebook.com/1035897273</v>
      </c>
      <c r="M1126" t="s">
        <v>30</v>
      </c>
      <c r="N1126" t="s">
        <v>31</v>
      </c>
      <c r="O1126" t="s">
        <v>1559</v>
      </c>
      <c r="P1126" t="str">
        <f>HYPERLINK("https://www.facebook.com/320892981422193")</f>
        <v>https://www.facebook.com/320892981422193</v>
      </c>
      <c r="Q1126">
        <v>293869</v>
      </c>
      <c r="R1126" t="s">
        <v>32</v>
      </c>
      <c r="S1126" t="s">
        <v>33</v>
      </c>
      <c r="T1126" t="s">
        <v>3130</v>
      </c>
      <c r="U1126" t="s">
        <v>3131</v>
      </c>
      <c r="V1126" t="s">
        <v>3132</v>
      </c>
    </row>
    <row r="1127" spans="1:22" ht="16">
      <c r="A1127" t="s">
        <v>2300</v>
      </c>
      <c r="B1127" t="s">
        <v>1162</v>
      </c>
      <c r="C1127" t="s">
        <v>768</v>
      </c>
      <c r="D1127" t="s">
        <v>3133</v>
      </c>
      <c r="E1127" t="s">
        <v>74</v>
      </c>
      <c r="F1127" t="s">
        <v>3</v>
      </c>
      <c r="G1127" t="str">
        <f>HYPERLINK("https://www.facebook.com/toyelviv/posts/pfbid02HyVHmdRrHaKvpJCV4k8sSATEQmB44tvrgpepSrJQ66Qs74jVAzPQ6qaz5ZMHUoNBl?comment_id=903424932478409")</f>
        <v>https://www.facebook.com/toyelviv/posts/pfbid02HyVHmdRrHaKvpJCV4k8sSATEQmB44tvrgpepSrJQ66Qs74jVAzPQ6qaz5ZMHUoNBl?comment_id=903424932478409</v>
      </c>
      <c r="H1127" t="s">
        <v>28</v>
      </c>
      <c r="I1127" t="s">
        <v>3107</v>
      </c>
      <c r="K1127" t="str">
        <f>HYPERLINK("https://www.facebook.com/61575689951454")</f>
        <v>https://www.facebook.com/61575689951454</v>
      </c>
      <c r="M1127" t="s">
        <v>30</v>
      </c>
      <c r="N1127" t="s">
        <v>31</v>
      </c>
      <c r="O1127" t="s">
        <v>1559</v>
      </c>
      <c r="P1127" t="str">
        <f>HYPERLINK("https://www.facebook.com/320892981422193")</f>
        <v>https://www.facebook.com/320892981422193</v>
      </c>
      <c r="Q1127">
        <v>293869</v>
      </c>
      <c r="R1127" t="s">
        <v>32</v>
      </c>
      <c r="S1127" t="s">
        <v>85</v>
      </c>
      <c r="T1127" t="s">
        <v>34</v>
      </c>
      <c r="U1127" t="s">
        <v>41</v>
      </c>
      <c r="V1127" t="s">
        <v>42</v>
      </c>
    </row>
    <row r="1128" spans="1:20" ht="16">
      <c r="A1128" t="s">
        <v>2300</v>
      </c>
      <c r="B1128" t="s">
        <v>1162</v>
      </c>
      <c r="C1128" t="s">
        <v>24</v>
      </c>
      <c r="D1128" t="s">
        <v>2007</v>
      </c>
      <c r="E1128" t="s">
        <v>45</v>
      </c>
      <c r="F1128" t="s">
        <v>281</v>
      </c>
      <c r="G1128" t="str">
        <f>HYPERLINK("https://twitter.com/felladvocate/status/2027444274610987454")</f>
        <v>https://twitter.com/felladvocate/status/2027444274610987454</v>
      </c>
      <c r="H1128" t="s">
        <v>28</v>
      </c>
      <c r="I1128" t="s">
        <v>3134</v>
      </c>
      <c r="J1128" t="s">
        <v>3135</v>
      </c>
      <c r="K1128" t="str">
        <f>HYPERLINK("http://twitter.com/felladvocate")</f>
        <v>http://twitter.com/felladvocate</v>
      </c>
      <c r="L1128">
        <v>2677</v>
      </c>
      <c r="N1128" t="s">
        <v>278</v>
      </c>
      <c r="R1128" t="s">
        <v>32</v>
      </c>
      <c r="S1128" t="s">
        <v>33</v>
      </c>
      <c r="T1128" t="s">
        <v>34</v>
      </c>
    </row>
    <row r="1129" spans="1:19" ht="16">
      <c r="A1129" t="s">
        <v>2300</v>
      </c>
      <c r="B1129" t="s">
        <v>1162</v>
      </c>
      <c r="C1129" t="s">
        <v>24</v>
      </c>
      <c r="D1129" t="s">
        <v>2007</v>
      </c>
      <c r="E1129" t="s">
        <v>45</v>
      </c>
      <c r="F1129" t="s">
        <v>281</v>
      </c>
      <c r="G1129" t="str">
        <f>HYPERLINK("https://twitter.com/AustinBacken/status/2027444226514984994")</f>
        <v>https://twitter.com/AustinBacken/status/2027444226514984994</v>
      </c>
      <c r="H1129" t="s">
        <v>28</v>
      </c>
      <c r="I1129" t="s">
        <v>3136</v>
      </c>
      <c r="J1129" t="s">
        <v>3137</v>
      </c>
      <c r="K1129" t="str">
        <f>HYPERLINK("http://twitter.com/AustinBacken")</f>
        <v>http://twitter.com/AustinBacken</v>
      </c>
      <c r="L1129">
        <v>356</v>
      </c>
      <c r="M1129" t="s">
        <v>40</v>
      </c>
      <c r="N1129" t="s">
        <v>278</v>
      </c>
      <c r="R1129" t="s">
        <v>32</v>
      </c>
      <c r="S1129" t="s">
        <v>33</v>
      </c>
    </row>
    <row r="1130" spans="1:19" ht="16">
      <c r="A1130" t="s">
        <v>2300</v>
      </c>
      <c r="B1130" t="s">
        <v>3138</v>
      </c>
      <c r="C1130" t="s">
        <v>24</v>
      </c>
      <c r="D1130" t="s">
        <v>2276</v>
      </c>
      <c r="E1130" t="s">
        <v>101</v>
      </c>
      <c r="F1130" t="s">
        <v>281</v>
      </c>
      <c r="G1130" t="str">
        <f>HYPERLINK("https://twitter.com/WendenGall/status/2027444078565102027")</f>
        <v>https://twitter.com/WendenGall/status/2027444078565102027</v>
      </c>
      <c r="H1130" t="s">
        <v>28</v>
      </c>
      <c r="I1130" t="s">
        <v>3139</v>
      </c>
      <c r="J1130" t="s">
        <v>3140</v>
      </c>
      <c r="K1130" t="str">
        <f>HYPERLINK("http://twitter.com/WendenGall")</f>
        <v>http://twitter.com/WendenGall</v>
      </c>
      <c r="L1130">
        <v>5079</v>
      </c>
      <c r="N1130" t="s">
        <v>278</v>
      </c>
      <c r="R1130" t="s">
        <v>32</v>
      </c>
      <c r="S1130" t="s">
        <v>33</v>
      </c>
    </row>
    <row r="1131" spans="1:20" ht="16">
      <c r="A1131" t="s">
        <v>2300</v>
      </c>
      <c r="B1131" t="s">
        <v>3138</v>
      </c>
      <c r="C1131" t="s">
        <v>24</v>
      </c>
      <c r="D1131" t="s">
        <v>2007</v>
      </c>
      <c r="E1131" t="s">
        <v>45</v>
      </c>
      <c r="F1131" t="s">
        <v>281</v>
      </c>
      <c r="G1131" t="str">
        <f>HYPERLINK("https://twitter.com/bek753/status/2027443977197150439")</f>
        <v>https://twitter.com/bek753/status/2027443977197150439</v>
      </c>
      <c r="H1131" t="s">
        <v>28</v>
      </c>
      <c r="I1131" t="s">
        <v>3141</v>
      </c>
      <c r="J1131" t="s">
        <v>3142</v>
      </c>
      <c r="K1131" t="str">
        <f>HYPERLINK("http://twitter.com/bek753")</f>
        <v>http://twitter.com/bek753</v>
      </c>
      <c r="L1131">
        <v>529</v>
      </c>
      <c r="N1131" t="s">
        <v>278</v>
      </c>
      <c r="R1131" t="s">
        <v>32</v>
      </c>
      <c r="S1131" t="s">
        <v>33</v>
      </c>
      <c r="T1131" t="s">
        <v>34</v>
      </c>
    </row>
    <row r="1132" spans="1:20" ht="16">
      <c r="A1132" t="s">
        <v>2300</v>
      </c>
      <c r="B1132" t="s">
        <v>3143</v>
      </c>
      <c r="C1132" t="s">
        <v>24</v>
      </c>
      <c r="D1132" t="s">
        <v>2007</v>
      </c>
      <c r="E1132" t="s">
        <v>45</v>
      </c>
      <c r="F1132" t="s">
        <v>281</v>
      </c>
      <c r="G1132" t="str">
        <f>HYPERLINK("https://twitter.com/GetZeka/status/2027443782745051627")</f>
        <v>https://twitter.com/GetZeka/status/2027443782745051627</v>
      </c>
      <c r="H1132" t="s">
        <v>28</v>
      </c>
      <c r="I1132" t="s">
        <v>3144</v>
      </c>
      <c r="J1132" t="s">
        <v>3145</v>
      </c>
      <c r="K1132" t="str">
        <f>HYPERLINK("http://twitter.com/GetZeka")</f>
        <v>http://twitter.com/GetZeka</v>
      </c>
      <c r="L1132">
        <v>179</v>
      </c>
      <c r="N1132" t="s">
        <v>278</v>
      </c>
      <c r="R1132" t="s">
        <v>32</v>
      </c>
      <c r="S1132" t="s">
        <v>33</v>
      </c>
      <c r="T1132" t="s">
        <v>34</v>
      </c>
    </row>
    <row r="1133" spans="1:19" ht="16">
      <c r="A1133" t="s">
        <v>2300</v>
      </c>
      <c r="B1133" t="s">
        <v>3143</v>
      </c>
      <c r="C1133" t="s">
        <v>24</v>
      </c>
      <c r="D1133" t="s">
        <v>2497</v>
      </c>
      <c r="E1133" t="s">
        <v>45</v>
      </c>
      <c r="F1133" t="s">
        <v>46</v>
      </c>
      <c r="G1133" t="str">
        <f>HYPERLINK("https://www.facebook.com/2664972187216156")</f>
        <v>https://www.facebook.com/2664972187216156</v>
      </c>
      <c r="H1133" t="s">
        <v>28</v>
      </c>
      <c r="I1133" t="s">
        <v>3146</v>
      </c>
      <c r="K1133" t="str">
        <f>HYPERLINK("https://www.facebook.com/100011102025687")</f>
        <v>https://www.facebook.com/100011102025687</v>
      </c>
      <c r="M1133" t="s">
        <v>30</v>
      </c>
      <c r="N1133" t="s">
        <v>31</v>
      </c>
      <c r="O1133" t="s">
        <v>3146</v>
      </c>
      <c r="P1133" t="str">
        <f>HYPERLINK("https://www.facebook.com/100011102025687")</f>
        <v>https://www.facebook.com/100011102025687</v>
      </c>
      <c r="R1133" t="s">
        <v>32</v>
      </c>
      <c r="S1133" t="s">
        <v>33</v>
      </c>
    </row>
    <row r="1134" spans="1:22" ht="16">
      <c r="A1134" t="s">
        <v>2300</v>
      </c>
      <c r="B1134" t="s">
        <v>212</v>
      </c>
      <c r="C1134" t="s">
        <v>80</v>
      </c>
      <c r="D1134" t="s">
        <v>3147</v>
      </c>
      <c r="E1134" t="s">
        <v>74</v>
      </c>
      <c r="F1134" t="s">
        <v>3</v>
      </c>
      <c r="G1134" t="str">
        <f>HYPERLINK("https://www.facebook.com/permalink.php?story_fbid=pfbid02rbt51TUb57HR4F6gBd5FwSTuyaUp3gHvM6gsAExHboTPbUq2FdNvTKt3sBpRB8pml&amp;id=100006975138432&amp;comment_id=1065479679973008")</f>
        <v>https://www.facebook.com/permalink.php?story_fbid=pfbid02rbt51TUb57HR4F6gBd5FwSTuyaUp3gHvM6gsAExHboTPbUq2FdNvTKt3sBpRB8pml&amp;id=100006975138432&amp;comment_id=1065479679973008</v>
      </c>
      <c r="H1134" t="s">
        <v>28</v>
      </c>
      <c r="I1134" t="s">
        <v>3148</v>
      </c>
      <c r="K1134" t="str">
        <f>HYPERLINK("https://www.facebook.com/100077136429572")</f>
        <v>https://www.facebook.com/100077136429572</v>
      </c>
      <c r="M1134" t="s">
        <v>40</v>
      </c>
      <c r="N1134" t="s">
        <v>31</v>
      </c>
      <c r="O1134" t="s">
        <v>1399</v>
      </c>
      <c r="P1134" t="str">
        <f>HYPERLINK("https://www.facebook.com/100006975138432")</f>
        <v>https://www.facebook.com/100006975138432</v>
      </c>
      <c r="R1134" t="s">
        <v>32</v>
      </c>
      <c r="S1134" t="s">
        <v>85</v>
      </c>
      <c r="T1134" t="s">
        <v>34</v>
      </c>
      <c r="U1134" t="s">
        <v>58</v>
      </c>
      <c r="V1134" t="s">
        <v>58</v>
      </c>
    </row>
    <row r="1135" spans="1:20" ht="16">
      <c r="A1135" t="s">
        <v>2300</v>
      </c>
      <c r="B1135" t="s">
        <v>212</v>
      </c>
      <c r="C1135" t="s">
        <v>24</v>
      </c>
      <c r="D1135" t="s">
        <v>49</v>
      </c>
      <c r="E1135" t="s">
        <v>26</v>
      </c>
      <c r="F1135" t="s">
        <v>46</v>
      </c>
      <c r="G1135" t="str">
        <f>HYPERLINK("https://www.facebook.com/1364064479096687")</f>
        <v>https://www.facebook.com/1364064479096687</v>
      </c>
      <c r="H1135" t="s">
        <v>28</v>
      </c>
      <c r="I1135" t="s">
        <v>1559</v>
      </c>
      <c r="K1135" t="str">
        <f>HYPERLINK("https://www.facebook.com/320892981422193")</f>
        <v>https://www.facebook.com/320892981422193</v>
      </c>
      <c r="L1135">
        <v>293432</v>
      </c>
      <c r="M1135" t="s">
        <v>345</v>
      </c>
      <c r="N1135" t="s">
        <v>31</v>
      </c>
      <c r="O1135" t="s">
        <v>1559</v>
      </c>
      <c r="P1135" t="str">
        <f>HYPERLINK("https://www.facebook.com/320892981422193")</f>
        <v>https://www.facebook.com/320892981422193</v>
      </c>
      <c r="Q1135">
        <v>293432</v>
      </c>
      <c r="R1135" t="s">
        <v>32</v>
      </c>
      <c r="S1135" t="s">
        <v>33</v>
      </c>
      <c r="T1135" t="s">
        <v>34</v>
      </c>
    </row>
    <row r="1136" spans="1:22" ht="16">
      <c r="A1136" t="s">
        <v>2300</v>
      </c>
      <c r="B1136" t="s">
        <v>216</v>
      </c>
      <c r="C1136" t="s">
        <v>24</v>
      </c>
      <c r="D1136" t="s">
        <v>3149</v>
      </c>
      <c r="E1136" t="s">
        <v>26</v>
      </c>
      <c r="F1136" t="s">
        <v>27</v>
      </c>
      <c r="G1136" t="str">
        <f>HYPERLINK("https://www.facebook.com/909256018780260")</f>
        <v>https://www.facebook.com/909256018780260</v>
      </c>
      <c r="H1136" t="s">
        <v>28</v>
      </c>
      <c r="I1136" t="s">
        <v>3150</v>
      </c>
      <c r="K1136" t="str">
        <f>HYPERLINK("https://www.facebook.com/100090876090645")</f>
        <v>https://www.facebook.com/100090876090645</v>
      </c>
      <c r="M1136" t="s">
        <v>30</v>
      </c>
      <c r="N1136" t="s">
        <v>31</v>
      </c>
      <c r="O1136" t="s">
        <v>3150</v>
      </c>
      <c r="P1136" t="str">
        <f>HYPERLINK("https://www.facebook.com/100090876090645")</f>
        <v>https://www.facebook.com/100090876090645</v>
      </c>
      <c r="R1136" t="s">
        <v>32</v>
      </c>
      <c r="S1136" t="s">
        <v>33</v>
      </c>
      <c r="T1136" t="s">
        <v>86</v>
      </c>
      <c r="U1136" t="s">
        <v>127</v>
      </c>
      <c r="V1136" t="s">
        <v>128</v>
      </c>
    </row>
    <row r="1137" spans="1:20" ht="16">
      <c r="A1137" t="s">
        <v>2300</v>
      </c>
      <c r="B1137" t="s">
        <v>3151</v>
      </c>
      <c r="C1137" t="s">
        <v>24</v>
      </c>
      <c r="D1137" t="s">
        <v>2007</v>
      </c>
      <c r="E1137" t="s">
        <v>45</v>
      </c>
      <c r="F1137" t="s">
        <v>281</v>
      </c>
      <c r="G1137" t="str">
        <f>HYPERLINK("https://twitter.com/dmitrytimoshenk/status/2027442940545511855")</f>
        <v>https://twitter.com/dmitrytimoshenk/status/2027442940545511855</v>
      </c>
      <c r="H1137" t="s">
        <v>28</v>
      </c>
      <c r="I1137" t="s">
        <v>3152</v>
      </c>
      <c r="J1137" t="s">
        <v>3153</v>
      </c>
      <c r="K1137" t="str">
        <f>HYPERLINK("http://twitter.com/dmitrytimoshenk")</f>
        <v>http://twitter.com/dmitrytimoshenk</v>
      </c>
      <c r="L1137">
        <v>38</v>
      </c>
      <c r="M1137" t="s">
        <v>40</v>
      </c>
      <c r="N1137" t="s">
        <v>278</v>
      </c>
      <c r="R1137" t="s">
        <v>32</v>
      </c>
      <c r="S1137" t="s">
        <v>33</v>
      </c>
      <c r="T1137" t="s">
        <v>34</v>
      </c>
    </row>
    <row r="1138" spans="1:20" ht="16">
      <c r="A1138" t="s">
        <v>2300</v>
      </c>
      <c r="B1138" t="s">
        <v>1166</v>
      </c>
      <c r="C1138" t="s">
        <v>24</v>
      </c>
      <c r="D1138" t="s">
        <v>2007</v>
      </c>
      <c r="E1138" t="s">
        <v>45</v>
      </c>
      <c r="F1138" t="s">
        <v>281</v>
      </c>
      <c r="G1138" t="str">
        <f>HYPERLINK("https://twitter.com/Margo93627365/status/2027442852762964464")</f>
        <v>https://twitter.com/Margo93627365/status/2027442852762964464</v>
      </c>
      <c r="H1138" t="s">
        <v>28</v>
      </c>
      <c r="I1138" t="s">
        <v>3154</v>
      </c>
      <c r="J1138" t="s">
        <v>3155</v>
      </c>
      <c r="K1138" t="str">
        <f>HYPERLINK("http://twitter.com/Margo93627365")</f>
        <v>http://twitter.com/Margo93627365</v>
      </c>
      <c r="L1138">
        <v>126</v>
      </c>
      <c r="M1138" t="s">
        <v>30</v>
      </c>
      <c r="N1138" t="s">
        <v>278</v>
      </c>
      <c r="R1138" t="s">
        <v>32</v>
      </c>
      <c r="S1138" t="s">
        <v>33</v>
      </c>
      <c r="T1138" t="s">
        <v>34</v>
      </c>
    </row>
    <row r="1139" spans="1:20" ht="16">
      <c r="A1139" t="s">
        <v>2300</v>
      </c>
      <c r="B1139" t="s">
        <v>1166</v>
      </c>
      <c r="C1139" t="s">
        <v>24</v>
      </c>
      <c r="D1139" t="s">
        <v>2007</v>
      </c>
      <c r="E1139" t="s">
        <v>45</v>
      </c>
      <c r="F1139" t="s">
        <v>281</v>
      </c>
      <c r="G1139" t="str">
        <f>HYPERLINK("https://twitter.com/FreedommanArtUA/status/2027442619324743870")</f>
        <v>https://twitter.com/FreedommanArtUA/status/2027442619324743870</v>
      </c>
      <c r="H1139" t="s">
        <v>28</v>
      </c>
      <c r="I1139" t="s">
        <v>3156</v>
      </c>
      <c r="J1139" t="s">
        <v>3157</v>
      </c>
      <c r="K1139" t="str">
        <f>HYPERLINK("http://twitter.com/FreedommanArtUA")</f>
        <v>http://twitter.com/FreedommanArtUA</v>
      </c>
      <c r="L1139">
        <v>20</v>
      </c>
      <c r="N1139" t="s">
        <v>278</v>
      </c>
      <c r="R1139" t="s">
        <v>32</v>
      </c>
      <c r="S1139" t="s">
        <v>33</v>
      </c>
      <c r="T1139" t="s">
        <v>34</v>
      </c>
    </row>
    <row r="1140" spans="1:20" ht="16">
      <c r="A1140" t="s">
        <v>2300</v>
      </c>
      <c r="B1140" t="s">
        <v>3158</v>
      </c>
      <c r="C1140" t="s">
        <v>24</v>
      </c>
      <c r="D1140" t="s">
        <v>2007</v>
      </c>
      <c r="E1140" t="s">
        <v>45</v>
      </c>
      <c r="F1140" t="s">
        <v>281</v>
      </c>
      <c r="G1140" t="str">
        <f>HYPERLINK("https://twitter.com/SeloRyasne/status/2027442425199722681")</f>
        <v>https://twitter.com/SeloRyasne/status/2027442425199722681</v>
      </c>
      <c r="H1140" t="s">
        <v>28</v>
      </c>
      <c r="I1140" t="s">
        <v>3159</v>
      </c>
      <c r="J1140" t="s">
        <v>3160</v>
      </c>
      <c r="K1140" t="str">
        <f>HYPERLINK("http://twitter.com/SeloRyasne")</f>
        <v>http://twitter.com/SeloRyasne</v>
      </c>
      <c r="L1140">
        <v>596</v>
      </c>
      <c r="N1140" t="s">
        <v>278</v>
      </c>
      <c r="R1140" t="s">
        <v>32</v>
      </c>
      <c r="S1140" t="s">
        <v>33</v>
      </c>
      <c r="T1140" t="s">
        <v>34</v>
      </c>
    </row>
    <row r="1141" spans="1:20" ht="16">
      <c r="A1141" t="s">
        <v>2300</v>
      </c>
      <c r="B1141" t="s">
        <v>1171</v>
      </c>
      <c r="C1141" t="s">
        <v>24</v>
      </c>
      <c r="D1141" t="s">
        <v>2658</v>
      </c>
      <c r="E1141" t="s">
        <v>45</v>
      </c>
      <c r="F1141" t="s">
        <v>3</v>
      </c>
      <c r="G1141" t="str">
        <f>HYPERLINK("https://twitter.com/IrinaOma16/status/2027442315384479869")</f>
        <v>https://twitter.com/IrinaOma16/status/2027442315384479869</v>
      </c>
      <c r="H1141" t="s">
        <v>28</v>
      </c>
      <c r="I1141" t="s">
        <v>3161</v>
      </c>
      <c r="J1141" t="s">
        <v>3162</v>
      </c>
      <c r="K1141" t="str">
        <f>HYPERLINK("http://twitter.com/IrinaOma16")</f>
        <v>http://twitter.com/IrinaOma16</v>
      </c>
      <c r="L1141">
        <v>3209</v>
      </c>
      <c r="M1141" t="s">
        <v>30</v>
      </c>
      <c r="N1141" t="s">
        <v>278</v>
      </c>
      <c r="R1141" t="s">
        <v>32</v>
      </c>
      <c r="S1141" t="s">
        <v>33</v>
      </c>
      <c r="T1141" t="s">
        <v>34</v>
      </c>
    </row>
    <row r="1142" spans="1:20" ht="16">
      <c r="A1142" t="s">
        <v>2300</v>
      </c>
      <c r="B1142" t="s">
        <v>1171</v>
      </c>
      <c r="C1142" t="s">
        <v>24</v>
      </c>
      <c r="D1142" t="s">
        <v>2007</v>
      </c>
      <c r="E1142" t="s">
        <v>45</v>
      </c>
      <c r="F1142" t="s">
        <v>281</v>
      </c>
      <c r="G1142" t="str">
        <f>HYPERLINK("https://twitter.com/eViL_TOX/status/2027442313467674690")</f>
        <v>https://twitter.com/eViL_TOX/status/2027442313467674690</v>
      </c>
      <c r="H1142" t="s">
        <v>28</v>
      </c>
      <c r="I1142" t="s">
        <v>3163</v>
      </c>
      <c r="J1142" t="s">
        <v>3164</v>
      </c>
      <c r="K1142" t="str">
        <f>HYPERLINK("http://twitter.com/eViL_TOX")</f>
        <v>http://twitter.com/eViL_TOX</v>
      </c>
      <c r="L1142">
        <v>133</v>
      </c>
      <c r="N1142" t="s">
        <v>278</v>
      </c>
      <c r="R1142" t="s">
        <v>32</v>
      </c>
      <c r="S1142" t="s">
        <v>33</v>
      </c>
      <c r="T1142" t="s">
        <v>34</v>
      </c>
    </row>
    <row r="1143" spans="1:20" ht="16">
      <c r="A1143" t="s">
        <v>2300</v>
      </c>
      <c r="B1143" t="s">
        <v>1171</v>
      </c>
      <c r="C1143" t="s">
        <v>24</v>
      </c>
      <c r="D1143" t="s">
        <v>2007</v>
      </c>
      <c r="E1143" t="s">
        <v>45</v>
      </c>
      <c r="F1143" t="s">
        <v>281</v>
      </c>
      <c r="G1143" t="str">
        <f>HYPERLINK("https://twitter.com/Yura79705858/status/2027442289702740150")</f>
        <v>https://twitter.com/Yura79705858/status/2027442289702740150</v>
      </c>
      <c r="H1143" t="s">
        <v>28</v>
      </c>
      <c r="I1143" t="s">
        <v>3165</v>
      </c>
      <c r="J1143" t="s">
        <v>3166</v>
      </c>
      <c r="K1143" t="str">
        <f>HYPERLINK("http://twitter.com/Yura79705858")</f>
        <v>http://twitter.com/Yura79705858</v>
      </c>
      <c r="L1143">
        <v>57</v>
      </c>
      <c r="N1143" t="s">
        <v>278</v>
      </c>
      <c r="R1143" t="s">
        <v>32</v>
      </c>
      <c r="S1143" t="s">
        <v>33</v>
      </c>
      <c r="T1143" t="s">
        <v>935</v>
      </c>
    </row>
    <row r="1144" spans="1:22" ht="16">
      <c r="A1144" t="s">
        <v>2300</v>
      </c>
      <c r="B1144" t="s">
        <v>1171</v>
      </c>
      <c r="C1144" t="s">
        <v>24</v>
      </c>
      <c r="D1144" t="s">
        <v>2007</v>
      </c>
      <c r="E1144" t="s">
        <v>45</v>
      </c>
      <c r="F1144" t="s">
        <v>281</v>
      </c>
      <c r="G1144" t="str">
        <f>HYPERLINK("https://twitter.com/Romanselydove/status/2027442166318948382")</f>
        <v>https://twitter.com/Romanselydove/status/2027442166318948382</v>
      </c>
      <c r="H1144" t="s">
        <v>28</v>
      </c>
      <c r="I1144" t="s">
        <v>3167</v>
      </c>
      <c r="J1144" t="s">
        <v>3168</v>
      </c>
      <c r="K1144" t="str">
        <f>HYPERLINK("http://twitter.com/Romanselydove")</f>
        <v>http://twitter.com/Romanselydove</v>
      </c>
      <c r="L1144">
        <v>594</v>
      </c>
      <c r="M1144" t="s">
        <v>40</v>
      </c>
      <c r="N1144" t="s">
        <v>278</v>
      </c>
      <c r="R1144" t="s">
        <v>32</v>
      </c>
      <c r="S1144" t="s">
        <v>33</v>
      </c>
      <c r="T1144" t="s">
        <v>34</v>
      </c>
      <c r="U1144" t="s">
        <v>439</v>
      </c>
      <c r="V1144" t="s">
        <v>3169</v>
      </c>
    </row>
    <row r="1145" spans="1:20" ht="16">
      <c r="A1145" t="s">
        <v>2300</v>
      </c>
      <c r="B1145" t="s">
        <v>1171</v>
      </c>
      <c r="C1145" t="s">
        <v>24</v>
      </c>
      <c r="D1145" t="s">
        <v>2007</v>
      </c>
      <c r="E1145" t="s">
        <v>45</v>
      </c>
      <c r="F1145" t="s">
        <v>281</v>
      </c>
      <c r="G1145" t="str">
        <f>HYPERLINK("https://twitter.com/killwekenny/status/2027442149831102557")</f>
        <v>https://twitter.com/killwekenny/status/2027442149831102557</v>
      </c>
      <c r="H1145" t="s">
        <v>28</v>
      </c>
      <c r="I1145" t="s">
        <v>3016</v>
      </c>
      <c r="J1145" t="s">
        <v>3017</v>
      </c>
      <c r="K1145" t="str">
        <f>HYPERLINK("http://twitter.com/killwekenny")</f>
        <v>http://twitter.com/killwekenny</v>
      </c>
      <c r="L1145">
        <v>640</v>
      </c>
      <c r="N1145" t="s">
        <v>278</v>
      </c>
      <c r="R1145" t="s">
        <v>32</v>
      </c>
      <c r="S1145" t="s">
        <v>33</v>
      </c>
      <c r="T1145" t="s">
        <v>1174</v>
      </c>
    </row>
    <row r="1146" spans="1:22" ht="16">
      <c r="A1146" t="s">
        <v>2300</v>
      </c>
      <c r="B1146" t="s">
        <v>3170</v>
      </c>
      <c r="C1146" t="s">
        <v>80</v>
      </c>
      <c r="D1146" t="s">
        <v>3171</v>
      </c>
      <c r="E1146" t="s">
        <v>74</v>
      </c>
      <c r="F1146" t="s">
        <v>3</v>
      </c>
      <c r="G1146" t="str">
        <f>HYPERLINK("https://www.facebook.com/permalink.php?story_fbid=pfbid02rbt51TUb57HR4F6gBd5FwSTuyaUp3gHvM6gsAExHboTPbUq2FdNvTKt3sBpRB8pml&amp;id=100006975138432&amp;comment_id=920129490425152")</f>
        <v>https://www.facebook.com/permalink.php?story_fbid=pfbid02rbt51TUb57HR4F6gBd5FwSTuyaUp3gHvM6gsAExHboTPbUq2FdNvTKt3sBpRB8pml&amp;id=100006975138432&amp;comment_id=920129490425152</v>
      </c>
      <c r="H1146" t="s">
        <v>28</v>
      </c>
      <c r="I1146" t="s">
        <v>3172</v>
      </c>
      <c r="K1146" t="str">
        <f>HYPERLINK("https://www.facebook.com/100022225441012")</f>
        <v>https://www.facebook.com/100022225441012</v>
      </c>
      <c r="L1146">
        <v>77</v>
      </c>
      <c r="M1146" t="s">
        <v>40</v>
      </c>
      <c r="N1146" t="s">
        <v>31</v>
      </c>
      <c r="O1146" t="s">
        <v>1399</v>
      </c>
      <c r="P1146" t="str">
        <f>HYPERLINK("https://www.facebook.com/100006975138432")</f>
        <v>https://www.facebook.com/100006975138432</v>
      </c>
      <c r="R1146" t="s">
        <v>32</v>
      </c>
      <c r="S1146" t="s">
        <v>85</v>
      </c>
      <c r="T1146" t="s">
        <v>34</v>
      </c>
      <c r="U1146" t="s">
        <v>58</v>
      </c>
      <c r="V1146" t="s">
        <v>58</v>
      </c>
    </row>
    <row r="1147" spans="1:20" ht="16">
      <c r="A1147" t="s">
        <v>2300</v>
      </c>
      <c r="B1147" t="s">
        <v>1177</v>
      </c>
      <c r="C1147" t="s">
        <v>24</v>
      </c>
      <c r="D1147" t="s">
        <v>2007</v>
      </c>
      <c r="E1147" t="s">
        <v>45</v>
      </c>
      <c r="F1147" t="s">
        <v>281</v>
      </c>
      <c r="G1147" t="str">
        <f>HYPERLINK("https://twitter.com/povodyr1/status/2027441283954864458")</f>
        <v>https://twitter.com/povodyr1/status/2027441283954864458</v>
      </c>
      <c r="H1147" t="s">
        <v>28</v>
      </c>
      <c r="I1147" t="s">
        <v>3102</v>
      </c>
      <c r="J1147" t="s">
        <v>3103</v>
      </c>
      <c r="K1147" t="str">
        <f>HYPERLINK("http://twitter.com/povodyr1")</f>
        <v>http://twitter.com/povodyr1</v>
      </c>
      <c r="L1147">
        <v>1942</v>
      </c>
      <c r="N1147" t="s">
        <v>278</v>
      </c>
      <c r="R1147" t="s">
        <v>32</v>
      </c>
      <c r="S1147" t="s">
        <v>33</v>
      </c>
      <c r="T1147" t="s">
        <v>34</v>
      </c>
    </row>
    <row r="1148" spans="1:19" ht="16">
      <c r="A1148" t="s">
        <v>2300</v>
      </c>
      <c r="B1148" t="s">
        <v>1181</v>
      </c>
      <c r="C1148" t="s">
        <v>24</v>
      </c>
      <c r="D1148" t="s">
        <v>824</v>
      </c>
      <c r="E1148" t="s">
        <v>45</v>
      </c>
      <c r="F1148" t="s">
        <v>46</v>
      </c>
      <c r="G1148" t="str">
        <f>HYPERLINK("https://www.facebook.com/2343110209525363")</f>
        <v>https://www.facebook.com/2343110209525363</v>
      </c>
      <c r="H1148" t="s">
        <v>28</v>
      </c>
      <c r="I1148" t="s">
        <v>3173</v>
      </c>
      <c r="K1148" t="str">
        <f>HYPERLINK("https://www.facebook.com/100033360892041")</f>
        <v>https://www.facebook.com/100033360892041</v>
      </c>
      <c r="M1148" t="s">
        <v>40</v>
      </c>
      <c r="N1148" t="s">
        <v>31</v>
      </c>
      <c r="O1148" t="s">
        <v>3174</v>
      </c>
      <c r="P1148" t="str">
        <f>HYPERLINK("https://www.facebook.com/685350901967977")</f>
        <v>https://www.facebook.com/685350901967977</v>
      </c>
      <c r="Q1148">
        <v>3540</v>
      </c>
      <c r="R1148" t="s">
        <v>32</v>
      </c>
      <c r="S1148" t="s">
        <v>33</v>
      </c>
    </row>
    <row r="1149" spans="1:20" ht="16">
      <c r="A1149" t="s">
        <v>2300</v>
      </c>
      <c r="B1149" t="s">
        <v>3175</v>
      </c>
      <c r="C1149" t="s">
        <v>24</v>
      </c>
      <c r="D1149" t="s">
        <v>2007</v>
      </c>
      <c r="E1149" t="s">
        <v>45</v>
      </c>
      <c r="F1149" t="s">
        <v>281</v>
      </c>
      <c r="G1149" t="str">
        <f>HYPERLINK("https://twitter.com/ohrinivhiychit/status/2027440639554580975")</f>
        <v>https://twitter.com/ohrinivhiychit/status/2027440639554580975</v>
      </c>
      <c r="H1149" t="s">
        <v>28</v>
      </c>
      <c r="I1149" t="s">
        <v>3176</v>
      </c>
      <c r="J1149" t="s">
        <v>3177</v>
      </c>
      <c r="K1149" t="str">
        <f>HYPERLINK("http://twitter.com/ohrinivhiychit")</f>
        <v>http://twitter.com/ohrinivhiychit</v>
      </c>
      <c r="L1149">
        <v>282</v>
      </c>
      <c r="N1149" t="s">
        <v>278</v>
      </c>
      <c r="R1149" t="s">
        <v>32</v>
      </c>
      <c r="S1149" t="s">
        <v>33</v>
      </c>
      <c r="T1149" t="s">
        <v>34</v>
      </c>
    </row>
    <row r="1150" spans="1:20" ht="16">
      <c r="A1150" t="s">
        <v>2300</v>
      </c>
      <c r="B1150" t="s">
        <v>1190</v>
      </c>
      <c r="C1150" t="s">
        <v>24</v>
      </c>
      <c r="D1150" t="s">
        <v>2007</v>
      </c>
      <c r="E1150" t="s">
        <v>45</v>
      </c>
      <c r="F1150" t="s">
        <v>281</v>
      </c>
      <c r="G1150" t="str">
        <f>HYPERLINK("https://twitter.com/Kataxizis/status/2027440470129815681")</f>
        <v>https://twitter.com/Kataxizis/status/2027440470129815681</v>
      </c>
      <c r="H1150" t="s">
        <v>28</v>
      </c>
      <c r="I1150" t="s">
        <v>3178</v>
      </c>
      <c r="J1150" t="s">
        <v>3179</v>
      </c>
      <c r="K1150" t="str">
        <f>HYPERLINK("http://twitter.com/Kataxizis")</f>
        <v>http://twitter.com/Kataxizis</v>
      </c>
      <c r="L1150">
        <v>128</v>
      </c>
      <c r="M1150" t="s">
        <v>40</v>
      </c>
      <c r="N1150" t="s">
        <v>278</v>
      </c>
      <c r="R1150" t="s">
        <v>32</v>
      </c>
      <c r="S1150" t="s">
        <v>33</v>
      </c>
      <c r="T1150" t="s">
        <v>34</v>
      </c>
    </row>
    <row r="1151" spans="1:22" ht="16">
      <c r="A1151" t="s">
        <v>2300</v>
      </c>
      <c r="B1151" t="s">
        <v>1190</v>
      </c>
      <c r="C1151" t="s">
        <v>24</v>
      </c>
      <c r="D1151" t="s">
        <v>2007</v>
      </c>
      <c r="E1151" t="s">
        <v>45</v>
      </c>
      <c r="F1151" t="s">
        <v>281</v>
      </c>
      <c r="G1151" t="str">
        <f>HYPERLINK("https://twitter.com/coldreamsua/status/2027440412055519556")</f>
        <v>https://twitter.com/coldreamsua/status/2027440412055519556</v>
      </c>
      <c r="H1151" t="s">
        <v>28</v>
      </c>
      <c r="I1151" t="s">
        <v>1245</v>
      </c>
      <c r="J1151" t="s">
        <v>1246</v>
      </c>
      <c r="K1151" t="str">
        <f>HYPERLINK("http://twitter.com/coldreamsua")</f>
        <v>http://twitter.com/coldreamsua</v>
      </c>
      <c r="L1151">
        <v>30</v>
      </c>
      <c r="N1151" t="s">
        <v>278</v>
      </c>
      <c r="R1151" t="s">
        <v>32</v>
      </c>
      <c r="S1151" t="s">
        <v>33</v>
      </c>
      <c r="T1151" t="s">
        <v>34</v>
      </c>
      <c r="U1151" t="s">
        <v>58</v>
      </c>
      <c r="V1151" t="s">
        <v>58</v>
      </c>
    </row>
    <row r="1152" spans="1:20" ht="16">
      <c r="A1152" t="s">
        <v>2300</v>
      </c>
      <c r="B1152" t="s">
        <v>3180</v>
      </c>
      <c r="C1152" t="s">
        <v>24</v>
      </c>
      <c r="D1152" t="s">
        <v>2007</v>
      </c>
      <c r="E1152" t="s">
        <v>45</v>
      </c>
      <c r="F1152" t="s">
        <v>281</v>
      </c>
      <c r="G1152" t="str">
        <f>HYPERLINK("https://twitter.com/leonidamos777/status/2027440258372006301")</f>
        <v>https://twitter.com/leonidamos777/status/2027440258372006301</v>
      </c>
      <c r="H1152" t="s">
        <v>28</v>
      </c>
      <c r="I1152" t="s">
        <v>2991</v>
      </c>
      <c r="J1152" t="s">
        <v>2992</v>
      </c>
      <c r="K1152" t="str">
        <f>HYPERLINK("http://twitter.com/leonidamos777")</f>
        <v>http://twitter.com/leonidamos777</v>
      </c>
      <c r="L1152">
        <v>3014</v>
      </c>
      <c r="N1152" t="s">
        <v>278</v>
      </c>
      <c r="R1152" t="s">
        <v>32</v>
      </c>
      <c r="S1152" t="s">
        <v>33</v>
      </c>
      <c r="T1152" t="s">
        <v>34</v>
      </c>
    </row>
    <row r="1153" spans="1:20" ht="16">
      <c r="A1153" t="s">
        <v>2300</v>
      </c>
      <c r="B1153" t="s">
        <v>3181</v>
      </c>
      <c r="C1153" t="s">
        <v>24</v>
      </c>
      <c r="D1153" t="s">
        <v>2007</v>
      </c>
      <c r="E1153" t="s">
        <v>45</v>
      </c>
      <c r="F1153" t="s">
        <v>281</v>
      </c>
      <c r="G1153" t="str">
        <f>HYPERLINK("https://twitter.com/roman19251/status/2027439772554203178")</f>
        <v>https://twitter.com/roman19251/status/2027439772554203178</v>
      </c>
      <c r="H1153" t="s">
        <v>28</v>
      </c>
      <c r="I1153" t="s">
        <v>3182</v>
      </c>
      <c r="J1153" t="s">
        <v>3183</v>
      </c>
      <c r="K1153" t="str">
        <f>HYPERLINK("http://twitter.com/roman19251")</f>
        <v>http://twitter.com/roman19251</v>
      </c>
      <c r="L1153">
        <v>44</v>
      </c>
      <c r="N1153" t="s">
        <v>278</v>
      </c>
      <c r="R1153" t="s">
        <v>32</v>
      </c>
      <c r="S1153" t="s">
        <v>33</v>
      </c>
      <c r="T1153" t="s">
        <v>34</v>
      </c>
    </row>
    <row r="1154" spans="1:22" ht="16">
      <c r="A1154" t="s">
        <v>2300</v>
      </c>
      <c r="B1154" t="s">
        <v>3181</v>
      </c>
      <c r="C1154" t="s">
        <v>24</v>
      </c>
      <c r="D1154" t="s">
        <v>2007</v>
      </c>
      <c r="E1154" t="s">
        <v>45</v>
      </c>
      <c r="F1154" t="s">
        <v>281</v>
      </c>
      <c r="G1154" t="str">
        <f>HYPERLINK("https://twitter.com/TarasovicTaras/status/2027439729600295243")</f>
        <v>https://twitter.com/TarasovicTaras/status/2027439729600295243</v>
      </c>
      <c r="H1154" t="s">
        <v>28</v>
      </c>
      <c r="I1154" t="s">
        <v>3184</v>
      </c>
      <c r="J1154" t="s">
        <v>3185</v>
      </c>
      <c r="K1154" t="str">
        <f>HYPERLINK("http://twitter.com/TarasovicTaras")</f>
        <v>http://twitter.com/TarasovicTaras</v>
      </c>
      <c r="L1154">
        <v>175</v>
      </c>
      <c r="N1154" t="s">
        <v>278</v>
      </c>
      <c r="R1154" t="s">
        <v>32</v>
      </c>
      <c r="S1154" t="s">
        <v>33</v>
      </c>
      <c r="T1154" t="s">
        <v>34</v>
      </c>
      <c r="U1154" t="s">
        <v>167</v>
      </c>
      <c r="V1154" t="s">
        <v>189</v>
      </c>
    </row>
    <row r="1155" spans="1:20" ht="16">
      <c r="A1155" t="s">
        <v>2300</v>
      </c>
      <c r="B1155" t="s">
        <v>3186</v>
      </c>
      <c r="C1155" t="s">
        <v>24</v>
      </c>
      <c r="D1155" t="s">
        <v>2007</v>
      </c>
      <c r="E1155" t="s">
        <v>45</v>
      </c>
      <c r="F1155" t="s">
        <v>281</v>
      </c>
      <c r="G1155" t="str">
        <f>HYPERLINK("https://twitter.com/prodan_tamara/status/2027439490298466516")</f>
        <v>https://twitter.com/prodan_tamara/status/2027439490298466516</v>
      </c>
      <c r="H1155" t="s">
        <v>28</v>
      </c>
      <c r="I1155" t="s">
        <v>3187</v>
      </c>
      <c r="J1155" t="s">
        <v>3188</v>
      </c>
      <c r="K1155" t="str">
        <f>HYPERLINK("http://twitter.com/prodan_tamara")</f>
        <v>http://twitter.com/prodan_tamara</v>
      </c>
      <c r="L1155">
        <v>151</v>
      </c>
      <c r="M1155" t="s">
        <v>30</v>
      </c>
      <c r="N1155" t="s">
        <v>278</v>
      </c>
      <c r="R1155" t="s">
        <v>32</v>
      </c>
      <c r="S1155" t="s">
        <v>33</v>
      </c>
      <c r="T1155" t="s">
        <v>34</v>
      </c>
    </row>
    <row r="1156" spans="1:22" ht="16">
      <c r="A1156" t="s">
        <v>2300</v>
      </c>
      <c r="B1156" t="s">
        <v>3189</v>
      </c>
      <c r="C1156" t="s">
        <v>80</v>
      </c>
      <c r="D1156" t="s">
        <v>3190</v>
      </c>
      <c r="E1156" t="s">
        <v>74</v>
      </c>
      <c r="F1156" t="s">
        <v>3</v>
      </c>
      <c r="G1156" t="str">
        <f>HYPERLINK("https://www.facebook.com/permalink.php?story_fbid=pfbid02rbt51TUb57HR4F6gBd5FwSTuyaUp3gHvM6gsAExHboTPbUq2FdNvTKt3sBpRB8pml&amp;id=100006975138432&amp;comment_id=26078528701811922&amp;reply_comment_id=920992240419566")</f>
        <v>https://www.facebook.com/permalink.php?story_fbid=pfbid02rbt51TUb57HR4F6gBd5FwSTuyaUp3gHvM6gsAExHboTPbUq2FdNvTKt3sBpRB8pml&amp;id=100006975138432&amp;comment_id=26078528701811922&amp;reply_comment_id=920992240419566</v>
      </c>
      <c r="H1156" t="s">
        <v>28</v>
      </c>
      <c r="I1156" t="s">
        <v>3191</v>
      </c>
      <c r="J1156" t="s">
        <v>3192</v>
      </c>
      <c r="K1156" t="str">
        <f>HYPERLINK("https://www.facebook.com/100000876483596")</f>
        <v>https://www.facebook.com/100000876483596</v>
      </c>
      <c r="M1156" t="s">
        <v>40</v>
      </c>
      <c r="N1156" t="s">
        <v>31</v>
      </c>
      <c r="O1156" t="s">
        <v>1399</v>
      </c>
      <c r="P1156" t="str">
        <f>HYPERLINK("https://www.facebook.com/100006975138432")</f>
        <v>https://www.facebook.com/100006975138432</v>
      </c>
      <c r="R1156" t="s">
        <v>32</v>
      </c>
      <c r="S1156" t="s">
        <v>85</v>
      </c>
      <c r="T1156" t="s">
        <v>34</v>
      </c>
      <c r="U1156" t="s">
        <v>58</v>
      </c>
      <c r="V1156" t="s">
        <v>58</v>
      </c>
    </row>
    <row r="1157" spans="1:20" ht="16">
      <c r="A1157" t="s">
        <v>2300</v>
      </c>
      <c r="B1157" t="s">
        <v>3189</v>
      </c>
      <c r="C1157" t="s">
        <v>24</v>
      </c>
      <c r="D1157" t="s">
        <v>2007</v>
      </c>
      <c r="E1157" t="s">
        <v>45</v>
      </c>
      <c r="F1157" t="s">
        <v>281</v>
      </c>
      <c r="G1157" t="str">
        <f>HYPERLINK("https://twitter.com/rus_zg/status/2027439111972286753")</f>
        <v>https://twitter.com/rus_zg/status/2027439111972286753</v>
      </c>
      <c r="H1157" t="s">
        <v>28</v>
      </c>
      <c r="I1157" t="s">
        <v>3193</v>
      </c>
      <c r="J1157" t="s">
        <v>3194</v>
      </c>
      <c r="K1157" t="str">
        <f>HYPERLINK("http://twitter.com/rus_zg")</f>
        <v>http://twitter.com/rus_zg</v>
      </c>
      <c r="L1157">
        <v>1161</v>
      </c>
      <c r="M1157" t="s">
        <v>40</v>
      </c>
      <c r="N1157" t="s">
        <v>278</v>
      </c>
      <c r="R1157" t="s">
        <v>32</v>
      </c>
      <c r="S1157" t="s">
        <v>33</v>
      </c>
      <c r="T1157" t="s">
        <v>199</v>
      </c>
    </row>
    <row r="1158" spans="1:20" ht="16">
      <c r="A1158" t="s">
        <v>2300</v>
      </c>
      <c r="B1158" t="s">
        <v>3195</v>
      </c>
      <c r="C1158" t="s">
        <v>24</v>
      </c>
      <c r="D1158" t="s">
        <v>2007</v>
      </c>
      <c r="E1158" t="s">
        <v>45</v>
      </c>
      <c r="F1158" t="s">
        <v>281</v>
      </c>
      <c r="G1158" t="str">
        <f>HYPERLINK("https://twitter.com/inobandera/status/2027439060663373874")</f>
        <v>https://twitter.com/inobandera/status/2027439060663373874</v>
      </c>
      <c r="H1158" t="s">
        <v>28</v>
      </c>
      <c r="I1158" t="s">
        <v>3196</v>
      </c>
      <c r="J1158" t="s">
        <v>3197</v>
      </c>
      <c r="K1158" t="str">
        <f>HYPERLINK("http://twitter.com/inobandera")</f>
        <v>http://twitter.com/inobandera</v>
      </c>
      <c r="L1158">
        <v>596</v>
      </c>
      <c r="M1158" t="s">
        <v>40</v>
      </c>
      <c r="N1158" t="s">
        <v>278</v>
      </c>
      <c r="R1158" t="s">
        <v>32</v>
      </c>
      <c r="S1158" t="s">
        <v>33</v>
      </c>
      <c r="T1158" t="s">
        <v>34</v>
      </c>
    </row>
    <row r="1159" spans="1:20" ht="16">
      <c r="A1159" t="s">
        <v>2300</v>
      </c>
      <c r="B1159" t="s">
        <v>3198</v>
      </c>
      <c r="C1159" t="s">
        <v>24</v>
      </c>
      <c r="D1159" t="s">
        <v>2007</v>
      </c>
      <c r="E1159" t="s">
        <v>45</v>
      </c>
      <c r="F1159" t="s">
        <v>281</v>
      </c>
      <c r="G1159" t="str">
        <f>HYPERLINK("https://twitter.com/Maseych/status/2027438830731554879")</f>
        <v>https://twitter.com/Maseych/status/2027438830731554879</v>
      </c>
      <c r="H1159" t="s">
        <v>28</v>
      </c>
      <c r="I1159" t="s">
        <v>3199</v>
      </c>
      <c r="J1159" t="s">
        <v>3199</v>
      </c>
      <c r="K1159" t="str">
        <f>HYPERLINK("http://twitter.com/Maseych")</f>
        <v>http://twitter.com/Maseych</v>
      </c>
      <c r="L1159">
        <v>27</v>
      </c>
      <c r="N1159" t="s">
        <v>278</v>
      </c>
      <c r="R1159" t="s">
        <v>32</v>
      </c>
      <c r="S1159" t="s">
        <v>33</v>
      </c>
      <c r="T1159" t="s">
        <v>117</v>
      </c>
    </row>
    <row r="1160" spans="1:20" ht="16">
      <c r="A1160" t="s">
        <v>2300</v>
      </c>
      <c r="B1160" t="s">
        <v>3198</v>
      </c>
      <c r="C1160" t="s">
        <v>24</v>
      </c>
      <c r="D1160" t="s">
        <v>2007</v>
      </c>
      <c r="E1160" t="s">
        <v>45</v>
      </c>
      <c r="F1160" t="s">
        <v>281</v>
      </c>
      <c r="G1160" t="str">
        <f>HYPERLINK("https://twitter.com/oscar_kgt/status/2027438722828947953")</f>
        <v>https://twitter.com/oscar_kgt/status/2027438722828947953</v>
      </c>
      <c r="H1160" t="s">
        <v>28</v>
      </c>
      <c r="I1160" t="s">
        <v>3200</v>
      </c>
      <c r="J1160" t="s">
        <v>3201</v>
      </c>
      <c r="K1160" t="str">
        <f>HYPERLINK("http://twitter.com/oscar_kgt")</f>
        <v>http://twitter.com/oscar_kgt</v>
      </c>
      <c r="L1160">
        <v>117</v>
      </c>
      <c r="N1160" t="s">
        <v>278</v>
      </c>
      <c r="R1160" t="s">
        <v>32</v>
      </c>
      <c r="S1160" t="s">
        <v>33</v>
      </c>
      <c r="T1160" t="s">
        <v>34</v>
      </c>
    </row>
    <row r="1161" spans="1:22" ht="16">
      <c r="A1161" t="s">
        <v>2300</v>
      </c>
      <c r="B1161" t="s">
        <v>222</v>
      </c>
      <c r="C1161" t="s">
        <v>80</v>
      </c>
      <c r="D1161" t="s">
        <v>3202</v>
      </c>
      <c r="E1161" t="s">
        <v>74</v>
      </c>
      <c r="F1161" t="s">
        <v>3</v>
      </c>
      <c r="G1161" t="str">
        <f>HYPERLINK("https://www.facebook.com/permalink.php?story_fbid=pfbid02rbt51TUb57HR4F6gBd5FwSTuyaUp3gHvM6gsAExHboTPbUq2FdNvTKt3sBpRB8pml&amp;id=100006975138432&amp;comment_id=26078528701811922&amp;reply_comment_id=1397150431707166")</f>
        <v>https://www.facebook.com/permalink.php?story_fbid=pfbid02rbt51TUb57HR4F6gBd5FwSTuyaUp3gHvM6gsAExHboTPbUq2FdNvTKt3sBpRB8pml&amp;id=100006975138432&amp;comment_id=26078528701811922&amp;reply_comment_id=1397150431707166</v>
      </c>
      <c r="H1161" t="s">
        <v>28</v>
      </c>
      <c r="I1161" t="s">
        <v>1399</v>
      </c>
      <c r="K1161" t="str">
        <f>HYPERLINK("https://www.facebook.com/100006975138432")</f>
        <v>https://www.facebook.com/100006975138432</v>
      </c>
      <c r="M1161" t="s">
        <v>40</v>
      </c>
      <c r="N1161" t="s">
        <v>31</v>
      </c>
      <c r="O1161" t="s">
        <v>1399</v>
      </c>
      <c r="P1161" t="str">
        <f>HYPERLINK("https://www.facebook.com/100006975138432")</f>
        <v>https://www.facebook.com/100006975138432</v>
      </c>
      <c r="R1161" t="s">
        <v>32</v>
      </c>
      <c r="S1161" t="s">
        <v>33</v>
      </c>
      <c r="T1161" t="s">
        <v>34</v>
      </c>
      <c r="U1161" t="s">
        <v>58</v>
      </c>
      <c r="V1161" t="s">
        <v>58</v>
      </c>
    </row>
    <row r="1162" spans="1:20" ht="16">
      <c r="A1162" t="s">
        <v>2300</v>
      </c>
      <c r="B1162" t="s">
        <v>222</v>
      </c>
      <c r="C1162" t="s">
        <v>24</v>
      </c>
      <c r="D1162" t="s">
        <v>2887</v>
      </c>
      <c r="E1162" t="s">
        <v>45</v>
      </c>
      <c r="F1162" t="s">
        <v>3</v>
      </c>
      <c r="G1162" t="str">
        <f>HYPERLINK("https://twitter.com/leonidamos777/status/2027438432063013118")</f>
        <v>https://twitter.com/leonidamos777/status/2027438432063013118</v>
      </c>
      <c r="H1162" t="s">
        <v>28</v>
      </c>
      <c r="I1162" t="s">
        <v>2991</v>
      </c>
      <c r="J1162" t="s">
        <v>2992</v>
      </c>
      <c r="K1162" t="str">
        <f>HYPERLINK("http://twitter.com/leonidamos777")</f>
        <v>http://twitter.com/leonidamos777</v>
      </c>
      <c r="L1162">
        <v>3014</v>
      </c>
      <c r="N1162" t="s">
        <v>278</v>
      </c>
      <c r="R1162" t="s">
        <v>32</v>
      </c>
      <c r="S1162" t="s">
        <v>33</v>
      </c>
      <c r="T1162" t="s">
        <v>34</v>
      </c>
    </row>
    <row r="1163" spans="1:19" ht="16">
      <c r="A1163" t="s">
        <v>2300</v>
      </c>
      <c r="B1163" t="s">
        <v>3203</v>
      </c>
      <c r="C1163" t="s">
        <v>24</v>
      </c>
      <c r="D1163" t="s">
        <v>2658</v>
      </c>
      <c r="E1163" t="s">
        <v>101</v>
      </c>
      <c r="F1163" t="s">
        <v>281</v>
      </c>
      <c r="G1163" t="str">
        <f>HYPERLINK("https://twitter.com/viking_inc_/status/2027438261547737154")</f>
        <v>https://twitter.com/viking_inc_/status/2027438261547737154</v>
      </c>
      <c r="H1163" t="s">
        <v>28</v>
      </c>
      <c r="I1163" t="s">
        <v>3204</v>
      </c>
      <c r="J1163" t="s">
        <v>3205</v>
      </c>
      <c r="K1163" t="str">
        <f>HYPERLINK("http://twitter.com/viking_inc_")</f>
        <v>http://twitter.com/viking_inc_</v>
      </c>
      <c r="L1163">
        <v>4206</v>
      </c>
      <c r="N1163" t="s">
        <v>278</v>
      </c>
      <c r="R1163" t="s">
        <v>32</v>
      </c>
      <c r="S1163" t="s">
        <v>33</v>
      </c>
    </row>
    <row r="1164" spans="1:22" ht="16">
      <c r="A1164" t="s">
        <v>2300</v>
      </c>
      <c r="B1164" t="s">
        <v>225</v>
      </c>
      <c r="C1164" t="s">
        <v>72</v>
      </c>
      <c r="D1164" t="s">
        <v>3206</v>
      </c>
      <c r="E1164" t="s">
        <v>74</v>
      </c>
      <c r="F1164" t="s">
        <v>3</v>
      </c>
      <c r="G1164" t="str">
        <f>HYPERLINK("https://www.facebook.com/antonov.vs/posts/pfbid0WoDA925DuzoodzbS7V28bt4ds9TmfsHEXjvxieTXWzQ3cuc53piJ6r5PvYjhKEdjl?comment_id=1608624770471056")</f>
        <v>https://www.facebook.com/antonov.vs/posts/pfbid0WoDA925DuzoodzbS7V28bt4ds9TmfsHEXjvxieTXWzQ3cuc53piJ6r5PvYjhKEdjl?comment_id=1608624770471056</v>
      </c>
      <c r="H1164" t="s">
        <v>28</v>
      </c>
      <c r="I1164" t="s">
        <v>3207</v>
      </c>
      <c r="K1164" t="str">
        <f>HYPERLINK("https://www.facebook.com/100067708955337")</f>
        <v>https://www.facebook.com/100067708955337</v>
      </c>
      <c r="M1164" t="s">
        <v>40</v>
      </c>
      <c r="N1164" t="s">
        <v>31</v>
      </c>
      <c r="O1164" t="s">
        <v>1127</v>
      </c>
      <c r="P1164" t="str">
        <f>HYPERLINK("https://www.facebook.com/100002292546539")</f>
        <v>https://www.facebook.com/100002292546539</v>
      </c>
      <c r="Q1164">
        <v>485</v>
      </c>
      <c r="R1164" t="s">
        <v>32</v>
      </c>
      <c r="S1164" t="s">
        <v>85</v>
      </c>
      <c r="T1164" t="s">
        <v>34</v>
      </c>
      <c r="U1164" t="s">
        <v>1308</v>
      </c>
      <c r="V1164" t="s">
        <v>1309</v>
      </c>
    </row>
    <row r="1165" spans="1:20" ht="16">
      <c r="A1165" t="s">
        <v>2300</v>
      </c>
      <c r="B1165" t="s">
        <v>225</v>
      </c>
      <c r="C1165" t="s">
        <v>24</v>
      </c>
      <c r="D1165" t="s">
        <v>2007</v>
      </c>
      <c r="E1165" t="s">
        <v>45</v>
      </c>
      <c r="F1165" t="s">
        <v>281</v>
      </c>
      <c r="G1165" t="str">
        <f>HYPERLINK("https://twitter.com/cryogenicbreez/status/2027437998397145514")</f>
        <v>https://twitter.com/cryogenicbreez/status/2027437998397145514</v>
      </c>
      <c r="H1165" t="s">
        <v>28</v>
      </c>
      <c r="I1165" t="s">
        <v>3208</v>
      </c>
      <c r="J1165" t="s">
        <v>3209</v>
      </c>
      <c r="K1165" t="str">
        <f>HYPERLINK("http://twitter.com/cryogenicbreez")</f>
        <v>http://twitter.com/cryogenicbreez</v>
      </c>
      <c r="L1165">
        <v>5683</v>
      </c>
      <c r="N1165" t="s">
        <v>278</v>
      </c>
      <c r="R1165" t="s">
        <v>32</v>
      </c>
      <c r="S1165" t="s">
        <v>33</v>
      </c>
      <c r="T1165" t="s">
        <v>34</v>
      </c>
    </row>
    <row r="1166" spans="1:19" ht="16">
      <c r="A1166" t="s">
        <v>2300</v>
      </c>
      <c r="B1166" t="s">
        <v>3210</v>
      </c>
      <c r="C1166" t="s">
        <v>24</v>
      </c>
      <c r="D1166" t="s">
        <v>2251</v>
      </c>
      <c r="E1166" t="s">
        <v>26</v>
      </c>
      <c r="F1166" t="s">
        <v>342</v>
      </c>
      <c r="G1166" t="str">
        <f>HYPERLINK("https://telegram.me/Premiuminform/44799")</f>
        <v>https://telegram.me/Premiuminform/44799</v>
      </c>
      <c r="H1166" t="s">
        <v>28</v>
      </c>
      <c r="I1166" t="s">
        <v>3211</v>
      </c>
      <c r="J1166" t="s">
        <v>3212</v>
      </c>
      <c r="K1166" t="str">
        <f>HYPERLINK("https://telegram.me/premiuminform")</f>
        <v>https://telegram.me/premiuminform</v>
      </c>
      <c r="L1166">
        <v>8418</v>
      </c>
      <c r="M1166" t="s">
        <v>345</v>
      </c>
      <c r="N1166" t="s">
        <v>346</v>
      </c>
      <c r="O1166" t="s">
        <v>3211</v>
      </c>
      <c r="P1166" t="str">
        <f>HYPERLINK("https://telegram.me/premiuminform")</f>
        <v>https://telegram.me/premiuminform</v>
      </c>
      <c r="Q1166">
        <v>8418</v>
      </c>
      <c r="R1166" t="s">
        <v>347</v>
      </c>
      <c r="S1166" t="s">
        <v>33</v>
      </c>
    </row>
    <row r="1167" spans="1:20" ht="16">
      <c r="A1167" t="s">
        <v>2300</v>
      </c>
      <c r="B1167" t="s">
        <v>3210</v>
      </c>
      <c r="C1167" t="s">
        <v>24</v>
      </c>
      <c r="D1167" t="s">
        <v>2007</v>
      </c>
      <c r="E1167" t="s">
        <v>45</v>
      </c>
      <c r="F1167" t="s">
        <v>281</v>
      </c>
      <c r="G1167" t="str">
        <f>HYPERLINK("https://twitter.com/RonTeoTwit/status/2027437675632832769")</f>
        <v>https://twitter.com/RonTeoTwit/status/2027437675632832769</v>
      </c>
      <c r="H1167" t="s">
        <v>28</v>
      </c>
      <c r="I1167" t="s">
        <v>3213</v>
      </c>
      <c r="J1167" t="s">
        <v>3214</v>
      </c>
      <c r="K1167" t="str">
        <f>HYPERLINK("http://twitter.com/RonTeoTwit")</f>
        <v>http://twitter.com/RonTeoTwit</v>
      </c>
      <c r="L1167">
        <v>103</v>
      </c>
      <c r="N1167" t="s">
        <v>278</v>
      </c>
      <c r="R1167" t="s">
        <v>32</v>
      </c>
      <c r="S1167" t="s">
        <v>33</v>
      </c>
      <c r="T1167" t="s">
        <v>34</v>
      </c>
    </row>
    <row r="1168" spans="1:22" ht="16">
      <c r="A1168" t="s">
        <v>2300</v>
      </c>
      <c r="B1168" t="s">
        <v>1193</v>
      </c>
      <c r="C1168" t="s">
        <v>24</v>
      </c>
      <c r="D1168" t="s">
        <v>2007</v>
      </c>
      <c r="E1168" t="s">
        <v>45</v>
      </c>
      <c r="F1168" t="s">
        <v>281</v>
      </c>
      <c r="G1168" t="str">
        <f>HYPERLINK("https://twitter.com/VoroshilovSS/status/2027437443071332360")</f>
        <v>https://twitter.com/VoroshilovSS/status/2027437443071332360</v>
      </c>
      <c r="H1168" t="s">
        <v>28</v>
      </c>
      <c r="I1168" t="s">
        <v>3215</v>
      </c>
      <c r="J1168" t="s">
        <v>3216</v>
      </c>
      <c r="K1168" t="str">
        <f>HYPERLINK("http://twitter.com/VoroshilovSS")</f>
        <v>http://twitter.com/VoroshilovSS</v>
      </c>
      <c r="L1168">
        <v>857</v>
      </c>
      <c r="N1168" t="s">
        <v>278</v>
      </c>
      <c r="R1168" t="s">
        <v>32</v>
      </c>
      <c r="S1168" t="s">
        <v>33</v>
      </c>
      <c r="T1168" t="s">
        <v>192</v>
      </c>
      <c r="U1168" t="s">
        <v>193</v>
      </c>
      <c r="V1168" t="s">
        <v>3217</v>
      </c>
    </row>
    <row r="1169" spans="1:20" ht="16">
      <c r="A1169" t="s">
        <v>2300</v>
      </c>
      <c r="B1169" t="s">
        <v>1193</v>
      </c>
      <c r="C1169" t="s">
        <v>24</v>
      </c>
      <c r="D1169" t="s">
        <v>2007</v>
      </c>
      <c r="E1169" t="s">
        <v>45</v>
      </c>
      <c r="F1169" t="s">
        <v>281</v>
      </c>
      <c r="G1169" t="str">
        <f>HYPERLINK("https://twitter.com/dargus7/status/2027437408430571775")</f>
        <v>https://twitter.com/dargus7/status/2027437408430571775</v>
      </c>
      <c r="H1169" t="s">
        <v>28</v>
      </c>
      <c r="I1169" t="s">
        <v>3218</v>
      </c>
      <c r="J1169" t="s">
        <v>3219</v>
      </c>
      <c r="K1169" t="str">
        <f>HYPERLINK("http://twitter.com/dargus7")</f>
        <v>http://twitter.com/dargus7</v>
      </c>
      <c r="L1169">
        <v>74</v>
      </c>
      <c r="N1169" t="s">
        <v>278</v>
      </c>
      <c r="R1169" t="s">
        <v>32</v>
      </c>
      <c r="S1169" t="s">
        <v>33</v>
      </c>
      <c r="T1169" t="s">
        <v>34</v>
      </c>
    </row>
    <row r="1170" spans="1:20" ht="16">
      <c r="A1170" t="s">
        <v>2300</v>
      </c>
      <c r="B1170" t="s">
        <v>1193</v>
      </c>
      <c r="C1170" t="s">
        <v>24</v>
      </c>
      <c r="D1170" t="s">
        <v>2007</v>
      </c>
      <c r="E1170" t="s">
        <v>45</v>
      </c>
      <c r="F1170" t="s">
        <v>281</v>
      </c>
      <c r="G1170" t="str">
        <f>HYPERLINK("https://twitter.com/kit74702/status/2027437378621546795")</f>
        <v>https://twitter.com/kit74702/status/2027437378621546795</v>
      </c>
      <c r="H1170" t="s">
        <v>28</v>
      </c>
      <c r="I1170" t="s">
        <v>3220</v>
      </c>
      <c r="J1170" t="s">
        <v>3221</v>
      </c>
      <c r="K1170" t="str">
        <f>HYPERLINK("http://twitter.com/kit74702")</f>
        <v>http://twitter.com/kit74702</v>
      </c>
      <c r="L1170">
        <v>860</v>
      </c>
      <c r="N1170" t="s">
        <v>278</v>
      </c>
      <c r="R1170" t="s">
        <v>32</v>
      </c>
      <c r="S1170" t="s">
        <v>33</v>
      </c>
      <c r="T1170" t="s">
        <v>34</v>
      </c>
    </row>
    <row r="1171" spans="1:22" ht="16">
      <c r="A1171" t="s">
        <v>2300</v>
      </c>
      <c r="B1171" t="s">
        <v>1198</v>
      </c>
      <c r="C1171" t="s">
        <v>24</v>
      </c>
      <c r="D1171" t="s">
        <v>2007</v>
      </c>
      <c r="E1171" t="s">
        <v>45</v>
      </c>
      <c r="F1171" t="s">
        <v>281</v>
      </c>
      <c r="G1171" t="str">
        <f>HYPERLINK("https://twitter.com/RomanMoskal70/status/2027437231472861629")</f>
        <v>https://twitter.com/RomanMoskal70/status/2027437231472861629</v>
      </c>
      <c r="H1171" t="s">
        <v>28</v>
      </c>
      <c r="I1171" t="s">
        <v>3222</v>
      </c>
      <c r="J1171" t="s">
        <v>3223</v>
      </c>
      <c r="K1171" t="str">
        <f>HYPERLINK("http://twitter.com/RomanMoskal70")</f>
        <v>http://twitter.com/RomanMoskal70</v>
      </c>
      <c r="L1171">
        <v>5135</v>
      </c>
      <c r="M1171" t="s">
        <v>40</v>
      </c>
      <c r="N1171" t="s">
        <v>278</v>
      </c>
      <c r="R1171" t="s">
        <v>32</v>
      </c>
      <c r="S1171" t="s">
        <v>33</v>
      </c>
      <c r="T1171" t="s">
        <v>34</v>
      </c>
      <c r="U1171" t="s">
        <v>899</v>
      </c>
      <c r="V1171" t="s">
        <v>900</v>
      </c>
    </row>
    <row r="1172" spans="1:22" ht="16">
      <c r="A1172" t="s">
        <v>2300</v>
      </c>
      <c r="B1172" t="s">
        <v>229</v>
      </c>
      <c r="C1172" t="s">
        <v>80</v>
      </c>
      <c r="D1172" t="s">
        <v>3224</v>
      </c>
      <c r="E1172" t="s">
        <v>74</v>
      </c>
      <c r="F1172" t="s">
        <v>3</v>
      </c>
      <c r="G1172" t="str">
        <f>HYPERLINK("https://www.facebook.com/permalink.php?story_fbid=pfbid02rbt51TUb57HR4F6gBd5FwSTuyaUp3gHvM6gsAExHboTPbUq2FdNvTKt3sBpRB8pml&amp;id=100006975138432&amp;comment_id=26078528701811922&amp;reply_comment_id=1204834241412872")</f>
        <v>https://www.facebook.com/permalink.php?story_fbid=pfbid02rbt51TUb57HR4F6gBd5FwSTuyaUp3gHvM6gsAExHboTPbUq2FdNvTKt3sBpRB8pml&amp;id=100006975138432&amp;comment_id=26078528701811922&amp;reply_comment_id=1204834241412872</v>
      </c>
      <c r="H1172" t="s">
        <v>28</v>
      </c>
      <c r="I1172" t="s">
        <v>3191</v>
      </c>
      <c r="J1172" t="s">
        <v>3192</v>
      </c>
      <c r="K1172" t="str">
        <f>HYPERLINK("https://www.facebook.com/100000876483596")</f>
        <v>https://www.facebook.com/100000876483596</v>
      </c>
      <c r="M1172" t="s">
        <v>40</v>
      </c>
      <c r="N1172" t="s">
        <v>31</v>
      </c>
      <c r="O1172" t="s">
        <v>1399</v>
      </c>
      <c r="P1172" t="str">
        <f>HYPERLINK("https://www.facebook.com/100006975138432")</f>
        <v>https://www.facebook.com/100006975138432</v>
      </c>
      <c r="R1172" t="s">
        <v>32</v>
      </c>
      <c r="S1172" t="s">
        <v>33</v>
      </c>
      <c r="T1172" t="s">
        <v>34</v>
      </c>
      <c r="U1172" t="s">
        <v>58</v>
      </c>
      <c r="V1172" t="s">
        <v>58</v>
      </c>
    </row>
    <row r="1173" spans="1:20" ht="16">
      <c r="A1173" t="s">
        <v>2300</v>
      </c>
      <c r="B1173" t="s">
        <v>229</v>
      </c>
      <c r="C1173" t="s">
        <v>24</v>
      </c>
      <c r="D1173" t="s">
        <v>2007</v>
      </c>
      <c r="E1173" t="s">
        <v>45</v>
      </c>
      <c r="F1173" t="s">
        <v>281</v>
      </c>
      <c r="G1173" t="str">
        <f>HYPERLINK("https://twitter.com/L_Kovalov/status/2027436716374515995")</f>
        <v>https://twitter.com/L_Kovalov/status/2027436716374515995</v>
      </c>
      <c r="H1173" t="s">
        <v>28</v>
      </c>
      <c r="I1173" t="s">
        <v>3225</v>
      </c>
      <c r="J1173" t="s">
        <v>3226</v>
      </c>
      <c r="K1173" t="str">
        <f>HYPERLINK("http://twitter.com/L_Kovalov")</f>
        <v>http://twitter.com/L_Kovalov</v>
      </c>
      <c r="L1173">
        <v>187</v>
      </c>
      <c r="M1173" t="s">
        <v>40</v>
      </c>
      <c r="N1173" t="s">
        <v>278</v>
      </c>
      <c r="R1173" t="s">
        <v>32</v>
      </c>
      <c r="S1173" t="s">
        <v>33</v>
      </c>
      <c r="T1173" t="s">
        <v>34</v>
      </c>
    </row>
    <row r="1174" spans="1:20" ht="16">
      <c r="A1174" t="s">
        <v>2300</v>
      </c>
      <c r="B1174" t="s">
        <v>232</v>
      </c>
      <c r="C1174" t="s">
        <v>24</v>
      </c>
      <c r="D1174" t="s">
        <v>2007</v>
      </c>
      <c r="E1174" t="s">
        <v>45</v>
      </c>
      <c r="F1174" t="s">
        <v>281</v>
      </c>
      <c r="G1174" t="str">
        <f>HYPERLINK("https://twitter.com/SevrukovAlexiy/status/2027436556974182515")</f>
        <v>https://twitter.com/SevrukovAlexiy/status/2027436556974182515</v>
      </c>
      <c r="H1174" t="s">
        <v>28</v>
      </c>
      <c r="I1174" t="s">
        <v>3227</v>
      </c>
      <c r="J1174" t="s">
        <v>3228</v>
      </c>
      <c r="K1174" t="str">
        <f>HYPERLINK("http://twitter.com/SevrukovAlexiy")</f>
        <v>http://twitter.com/SevrukovAlexiy</v>
      </c>
      <c r="L1174">
        <v>40</v>
      </c>
      <c r="M1174" t="s">
        <v>40</v>
      </c>
      <c r="N1174" t="s">
        <v>278</v>
      </c>
      <c r="R1174" t="s">
        <v>32</v>
      </c>
      <c r="S1174" t="s">
        <v>33</v>
      </c>
      <c r="T1174" t="s">
        <v>34</v>
      </c>
    </row>
    <row r="1175" spans="1:20" ht="16">
      <c r="A1175" t="s">
        <v>2300</v>
      </c>
      <c r="B1175" t="s">
        <v>232</v>
      </c>
      <c r="C1175" t="s">
        <v>24</v>
      </c>
      <c r="D1175" t="s">
        <v>2007</v>
      </c>
      <c r="E1175" t="s">
        <v>45</v>
      </c>
      <c r="F1175" t="s">
        <v>281</v>
      </c>
      <c r="G1175" t="str">
        <f>HYPERLINK("https://twitter.com/tat_vladi/status/2027436499696787523")</f>
        <v>https://twitter.com/tat_vladi/status/2027436499696787523</v>
      </c>
      <c r="H1175" t="s">
        <v>28</v>
      </c>
      <c r="I1175" t="s">
        <v>3229</v>
      </c>
      <c r="J1175" t="s">
        <v>3230</v>
      </c>
      <c r="K1175" t="str">
        <f>HYPERLINK("http://twitter.com/tat_vladi")</f>
        <v>http://twitter.com/tat_vladi</v>
      </c>
      <c r="L1175">
        <v>59</v>
      </c>
      <c r="N1175" t="s">
        <v>278</v>
      </c>
      <c r="R1175" t="s">
        <v>32</v>
      </c>
      <c r="S1175" t="s">
        <v>33</v>
      </c>
      <c r="T1175" t="s">
        <v>34</v>
      </c>
    </row>
    <row r="1176" spans="1:20" ht="16">
      <c r="A1176" t="s">
        <v>2300</v>
      </c>
      <c r="B1176" t="s">
        <v>232</v>
      </c>
      <c r="C1176" t="s">
        <v>24</v>
      </c>
      <c r="D1176" t="s">
        <v>2007</v>
      </c>
      <c r="E1176" t="s">
        <v>45</v>
      </c>
      <c r="F1176" t="s">
        <v>281</v>
      </c>
      <c r="G1176" t="str">
        <f>HYPERLINK("https://twitter.com/ludmila1348/status/2027436500724388051")</f>
        <v>https://twitter.com/ludmila1348/status/2027436500724388051</v>
      </c>
      <c r="H1176" t="s">
        <v>28</v>
      </c>
      <c r="I1176" t="s">
        <v>374</v>
      </c>
      <c r="J1176" t="s">
        <v>375</v>
      </c>
      <c r="K1176" t="str">
        <f>HYPERLINK("http://twitter.com/ludmila1348")</f>
        <v>http://twitter.com/ludmila1348</v>
      </c>
      <c r="L1176">
        <v>4585</v>
      </c>
      <c r="M1176" t="s">
        <v>30</v>
      </c>
      <c r="N1176" t="s">
        <v>278</v>
      </c>
      <c r="R1176" t="s">
        <v>32</v>
      </c>
      <c r="S1176" t="s">
        <v>33</v>
      </c>
      <c r="T1176" t="s">
        <v>34</v>
      </c>
    </row>
    <row r="1177" spans="1:22" ht="16">
      <c r="A1177" t="s">
        <v>2300</v>
      </c>
      <c r="B1177" t="s">
        <v>3231</v>
      </c>
      <c r="C1177" t="s">
        <v>80</v>
      </c>
      <c r="D1177" t="s">
        <v>3232</v>
      </c>
      <c r="E1177" t="s">
        <v>74</v>
      </c>
      <c r="F1177" t="s">
        <v>3</v>
      </c>
      <c r="G1177" t="str">
        <f>HYPERLINK("https://www.facebook.com/permalink.php?story_fbid=pfbid02rbt51TUb57HR4F6gBd5FwSTuyaUp3gHvM6gsAExHboTPbUq2FdNvTKt3sBpRB8pml&amp;id=100006975138432&amp;comment_id=925357429880179")</f>
        <v>https://www.facebook.com/permalink.php?story_fbid=pfbid02rbt51TUb57HR4F6gBd5FwSTuyaUp3gHvM6gsAExHboTPbUq2FdNvTKt3sBpRB8pml&amp;id=100006975138432&amp;comment_id=925357429880179</v>
      </c>
      <c r="H1177" t="s">
        <v>28</v>
      </c>
      <c r="I1177" t="s">
        <v>3233</v>
      </c>
      <c r="K1177" t="str">
        <f>HYPERLINK("https://www.facebook.com/100011238911948")</f>
        <v>https://www.facebook.com/100011238911948</v>
      </c>
      <c r="L1177">
        <v>0</v>
      </c>
      <c r="M1177" t="s">
        <v>40</v>
      </c>
      <c r="N1177" t="s">
        <v>31</v>
      </c>
      <c r="O1177" t="s">
        <v>1399</v>
      </c>
      <c r="P1177" t="str">
        <f>HYPERLINK("https://www.facebook.com/100006975138432")</f>
        <v>https://www.facebook.com/100006975138432</v>
      </c>
      <c r="R1177" t="s">
        <v>32</v>
      </c>
      <c r="S1177" t="s">
        <v>33</v>
      </c>
      <c r="T1177" t="s">
        <v>34</v>
      </c>
      <c r="U1177" t="s">
        <v>58</v>
      </c>
      <c r="V1177" t="s">
        <v>58</v>
      </c>
    </row>
    <row r="1178" spans="1:22" ht="16">
      <c r="A1178" t="s">
        <v>2300</v>
      </c>
      <c r="B1178" t="s">
        <v>3234</v>
      </c>
      <c r="C1178" t="s">
        <v>24</v>
      </c>
      <c r="D1178" t="s">
        <v>2887</v>
      </c>
      <c r="E1178" t="s">
        <v>101</v>
      </c>
      <c r="F1178" t="s">
        <v>281</v>
      </c>
      <c r="G1178" t="str">
        <f>HYPERLINK("https://twitter.com/prelatSimon/status/2027435011683537167")</f>
        <v>https://twitter.com/prelatSimon/status/2027435011683537167</v>
      </c>
      <c r="H1178" t="s">
        <v>28</v>
      </c>
      <c r="I1178" t="s">
        <v>3235</v>
      </c>
      <c r="J1178" t="s">
        <v>3236</v>
      </c>
      <c r="K1178" t="str">
        <f>HYPERLINK("http://twitter.com/prelatSimon")</f>
        <v>http://twitter.com/prelatSimon</v>
      </c>
      <c r="L1178">
        <v>2206</v>
      </c>
      <c r="N1178" t="s">
        <v>278</v>
      </c>
      <c r="R1178" t="s">
        <v>32</v>
      </c>
      <c r="S1178" t="s">
        <v>33</v>
      </c>
      <c r="T1178" t="s">
        <v>34</v>
      </c>
      <c r="U1178" t="s">
        <v>167</v>
      </c>
      <c r="V1178" t="s">
        <v>870</v>
      </c>
    </row>
    <row r="1179" spans="1:20" ht="16">
      <c r="A1179" t="s">
        <v>2300</v>
      </c>
      <c r="B1179" t="s">
        <v>3234</v>
      </c>
      <c r="C1179" t="s">
        <v>24</v>
      </c>
      <c r="D1179" t="s">
        <v>2007</v>
      </c>
      <c r="E1179" t="s">
        <v>45</v>
      </c>
      <c r="F1179" t="s">
        <v>281</v>
      </c>
      <c r="G1179" t="str">
        <f>HYPERLINK("https://twitter.com/AnatolSl/status/2027434897934090359")</f>
        <v>https://twitter.com/AnatolSl/status/2027434897934090359</v>
      </c>
      <c r="H1179" t="s">
        <v>28</v>
      </c>
      <c r="I1179" t="s">
        <v>3237</v>
      </c>
      <c r="J1179" t="s">
        <v>3238</v>
      </c>
      <c r="K1179" t="str">
        <f>HYPERLINK("http://twitter.com/AnatolSl")</f>
        <v>http://twitter.com/AnatolSl</v>
      </c>
      <c r="L1179">
        <v>228</v>
      </c>
      <c r="M1179" t="s">
        <v>40</v>
      </c>
      <c r="N1179" t="s">
        <v>278</v>
      </c>
      <c r="R1179" t="s">
        <v>32</v>
      </c>
      <c r="S1179" t="s">
        <v>33</v>
      </c>
      <c r="T1179" t="s">
        <v>34</v>
      </c>
    </row>
    <row r="1180" spans="1:20" ht="16">
      <c r="A1180" t="s">
        <v>2300</v>
      </c>
      <c r="B1180" t="s">
        <v>3234</v>
      </c>
      <c r="C1180" t="s">
        <v>24</v>
      </c>
      <c r="D1180" t="s">
        <v>2007</v>
      </c>
      <c r="E1180" t="s">
        <v>45</v>
      </c>
      <c r="F1180" t="s">
        <v>281</v>
      </c>
      <c r="G1180" t="str">
        <f>HYPERLINK("https://twitter.com/Sarumyan/status/2027434863888830534")</f>
        <v>https://twitter.com/Sarumyan/status/2027434863888830534</v>
      </c>
      <c r="H1180" t="s">
        <v>28</v>
      </c>
      <c r="I1180" t="s">
        <v>1344</v>
      </c>
      <c r="J1180" t="s">
        <v>1344</v>
      </c>
      <c r="K1180" t="str">
        <f>HYPERLINK("http://twitter.com/Sarumyan")</f>
        <v>http://twitter.com/Sarumyan</v>
      </c>
      <c r="L1180">
        <v>177</v>
      </c>
      <c r="N1180" t="s">
        <v>278</v>
      </c>
      <c r="R1180" t="s">
        <v>32</v>
      </c>
      <c r="S1180" t="s">
        <v>33</v>
      </c>
      <c r="T1180" t="s">
        <v>34</v>
      </c>
    </row>
    <row r="1181" spans="1:20" ht="16">
      <c r="A1181" t="s">
        <v>2300</v>
      </c>
      <c r="B1181" t="s">
        <v>3239</v>
      </c>
      <c r="C1181" t="s">
        <v>24</v>
      </c>
      <c r="D1181" t="s">
        <v>2007</v>
      </c>
      <c r="E1181" t="s">
        <v>45</v>
      </c>
      <c r="F1181" t="s">
        <v>281</v>
      </c>
      <c r="G1181" t="str">
        <f>HYPERLINK("https://twitter.com/IRIN_av777/status/2027434715939037578")</f>
        <v>https://twitter.com/IRIN_av777/status/2027434715939037578</v>
      </c>
      <c r="H1181" t="s">
        <v>28</v>
      </c>
      <c r="I1181" t="s">
        <v>3123</v>
      </c>
      <c r="J1181" t="s">
        <v>3124</v>
      </c>
      <c r="K1181" t="str">
        <f>HYPERLINK("http://twitter.com/IRIN_av777")</f>
        <v>http://twitter.com/IRIN_av777</v>
      </c>
      <c r="L1181">
        <v>215</v>
      </c>
      <c r="N1181" t="s">
        <v>278</v>
      </c>
      <c r="R1181" t="s">
        <v>32</v>
      </c>
      <c r="S1181" t="s">
        <v>33</v>
      </c>
      <c r="T1181" t="s">
        <v>34</v>
      </c>
    </row>
    <row r="1182" spans="1:19" ht="16">
      <c r="A1182" t="s">
        <v>2300</v>
      </c>
      <c r="B1182" t="s">
        <v>3239</v>
      </c>
      <c r="C1182" t="s">
        <v>24</v>
      </c>
      <c r="D1182" t="s">
        <v>3240</v>
      </c>
      <c r="E1182" t="s">
        <v>26</v>
      </c>
      <c r="F1182" t="s">
        <v>342</v>
      </c>
      <c r="G1182" t="str">
        <f>HYPERLINK("https://telegram.me/news_UA_war/82519")</f>
        <v>https://telegram.me/news_UA_war/82519</v>
      </c>
      <c r="H1182" t="s">
        <v>28</v>
      </c>
      <c r="I1182" t="s">
        <v>3241</v>
      </c>
      <c r="J1182" t="s">
        <v>3242</v>
      </c>
      <c r="K1182" t="str">
        <f>HYPERLINK("https://telegram.me/news_ua_war")</f>
        <v>https://telegram.me/news_ua_war</v>
      </c>
      <c r="L1182">
        <v>1445</v>
      </c>
      <c r="M1182" t="s">
        <v>345</v>
      </c>
      <c r="N1182" t="s">
        <v>346</v>
      </c>
      <c r="O1182" t="s">
        <v>3241</v>
      </c>
      <c r="P1182" t="str">
        <f>HYPERLINK("https://telegram.me/news_ua_war")</f>
        <v>https://telegram.me/news_ua_war</v>
      </c>
      <c r="Q1182">
        <v>1445</v>
      </c>
      <c r="R1182" t="s">
        <v>347</v>
      </c>
      <c r="S1182" t="s">
        <v>33</v>
      </c>
    </row>
    <row r="1183" spans="1:20" ht="16">
      <c r="A1183" t="s">
        <v>2300</v>
      </c>
      <c r="B1183" t="s">
        <v>3243</v>
      </c>
      <c r="C1183" t="s">
        <v>24</v>
      </c>
      <c r="D1183" t="s">
        <v>3244</v>
      </c>
      <c r="E1183" t="s">
        <v>101</v>
      </c>
      <c r="F1183" t="s">
        <v>281</v>
      </c>
      <c r="G1183" t="str">
        <f>HYPERLINK("https://twitter.com/anchoragespirit/status/2027434539933372597")</f>
        <v>https://twitter.com/anchoragespirit/status/2027434539933372597</v>
      </c>
      <c r="H1183" t="s">
        <v>28</v>
      </c>
      <c r="I1183" t="s">
        <v>3245</v>
      </c>
      <c r="J1183" t="s">
        <v>3246</v>
      </c>
      <c r="K1183" t="str">
        <f>HYPERLINK("http://twitter.com/anchoragespirit")</f>
        <v>http://twitter.com/anchoragespirit</v>
      </c>
      <c r="L1183">
        <v>4</v>
      </c>
      <c r="N1183" t="s">
        <v>278</v>
      </c>
      <c r="R1183" t="s">
        <v>32</v>
      </c>
      <c r="S1183" t="s">
        <v>33</v>
      </c>
      <c r="T1183" t="s">
        <v>34</v>
      </c>
    </row>
    <row r="1184" spans="1:22" ht="16">
      <c r="A1184" t="s">
        <v>2300</v>
      </c>
      <c r="B1184" t="s">
        <v>1202</v>
      </c>
      <c r="C1184" t="s">
        <v>80</v>
      </c>
      <c r="D1184" t="s">
        <v>3247</v>
      </c>
      <c r="E1184" t="s">
        <v>74</v>
      </c>
      <c r="F1184" t="s">
        <v>3</v>
      </c>
      <c r="G1184" t="str">
        <f>HYPERLINK("https://www.facebook.com/permalink.php?story_fbid=pfbid02rbt51TUb57HR4F6gBd5FwSTuyaUp3gHvM6gsAExHboTPbUq2FdNvTKt3sBpRB8pml&amp;id=100006975138432&amp;comment_id=777867278731116")</f>
        <v>https://www.facebook.com/permalink.php?story_fbid=pfbid02rbt51TUb57HR4F6gBd5FwSTuyaUp3gHvM6gsAExHboTPbUq2FdNvTKt3sBpRB8pml&amp;id=100006975138432&amp;comment_id=777867278731116</v>
      </c>
      <c r="H1184" t="s">
        <v>28</v>
      </c>
      <c r="I1184" t="s">
        <v>3248</v>
      </c>
      <c r="K1184" t="str">
        <f>HYPERLINK("https://www.facebook.com/100067053798405")</f>
        <v>https://www.facebook.com/100067053798405</v>
      </c>
      <c r="M1184" t="s">
        <v>30</v>
      </c>
      <c r="N1184" t="s">
        <v>31</v>
      </c>
      <c r="O1184" t="s">
        <v>1399</v>
      </c>
      <c r="P1184" t="str">
        <f>HYPERLINK("https://www.facebook.com/100006975138432")</f>
        <v>https://www.facebook.com/100006975138432</v>
      </c>
      <c r="R1184" t="s">
        <v>32</v>
      </c>
      <c r="S1184" t="s">
        <v>33</v>
      </c>
      <c r="T1184" t="s">
        <v>34</v>
      </c>
      <c r="U1184" t="s">
        <v>58</v>
      </c>
      <c r="V1184" t="s">
        <v>58</v>
      </c>
    </row>
    <row r="1185" spans="1:20" ht="16">
      <c r="A1185" t="s">
        <v>2300</v>
      </c>
      <c r="B1185" t="s">
        <v>1202</v>
      </c>
      <c r="C1185" t="s">
        <v>24</v>
      </c>
      <c r="D1185" t="s">
        <v>2007</v>
      </c>
      <c r="E1185" t="s">
        <v>45</v>
      </c>
      <c r="F1185" t="s">
        <v>281</v>
      </c>
      <c r="G1185" t="str">
        <f>HYPERLINK("https://twitter.com/JohnSmi72001855/status/2027434213985656866")</f>
        <v>https://twitter.com/JohnSmi72001855/status/2027434213985656866</v>
      </c>
      <c r="H1185" t="s">
        <v>28</v>
      </c>
      <c r="I1185" t="s">
        <v>3249</v>
      </c>
      <c r="J1185" t="s">
        <v>3250</v>
      </c>
      <c r="K1185" t="str">
        <f>HYPERLINK("http://twitter.com/JohnSmi72001855")</f>
        <v>http://twitter.com/JohnSmi72001855</v>
      </c>
      <c r="L1185">
        <v>411</v>
      </c>
      <c r="N1185" t="s">
        <v>278</v>
      </c>
      <c r="R1185" t="s">
        <v>32</v>
      </c>
      <c r="S1185" t="s">
        <v>33</v>
      </c>
      <c r="T1185" t="s">
        <v>34</v>
      </c>
    </row>
    <row r="1186" spans="1:20" ht="16">
      <c r="A1186" t="s">
        <v>2300</v>
      </c>
      <c r="B1186" t="s">
        <v>3251</v>
      </c>
      <c r="C1186" t="s">
        <v>24</v>
      </c>
      <c r="D1186" t="s">
        <v>2007</v>
      </c>
      <c r="E1186" t="s">
        <v>45</v>
      </c>
      <c r="F1186" t="s">
        <v>281</v>
      </c>
      <c r="G1186" t="str">
        <f>HYPERLINK("https://twitter.com/sukutyra/status/2027433958443532568")</f>
        <v>https://twitter.com/sukutyra/status/2027433958443532568</v>
      </c>
      <c r="H1186" t="s">
        <v>28</v>
      </c>
      <c r="I1186" t="s">
        <v>3252</v>
      </c>
      <c r="J1186" t="s">
        <v>3253</v>
      </c>
      <c r="K1186" t="str">
        <f>HYPERLINK("http://twitter.com/sukutyra")</f>
        <v>http://twitter.com/sukutyra</v>
      </c>
      <c r="L1186">
        <v>1141</v>
      </c>
      <c r="M1186" t="s">
        <v>40</v>
      </c>
      <c r="N1186" t="s">
        <v>278</v>
      </c>
      <c r="R1186" t="s">
        <v>32</v>
      </c>
      <c r="S1186" t="s">
        <v>33</v>
      </c>
      <c r="T1186" t="s">
        <v>34</v>
      </c>
    </row>
    <row r="1187" spans="1:22" ht="16">
      <c r="A1187" t="s">
        <v>2300</v>
      </c>
      <c r="B1187" t="s">
        <v>3251</v>
      </c>
      <c r="C1187" t="s">
        <v>24</v>
      </c>
      <c r="D1187" t="s">
        <v>2007</v>
      </c>
      <c r="E1187" t="s">
        <v>45</v>
      </c>
      <c r="F1187" t="s">
        <v>281</v>
      </c>
      <c r="G1187" t="str">
        <f>HYPERLINK("https://twitter.com/Sv3XTcFRUAHTYi9/status/2027433912822079508")</f>
        <v>https://twitter.com/Sv3XTcFRUAHTYi9/status/2027433912822079508</v>
      </c>
      <c r="H1187" t="s">
        <v>28</v>
      </c>
      <c r="I1187" t="s">
        <v>1024</v>
      </c>
      <c r="J1187" t="s">
        <v>1025</v>
      </c>
      <c r="K1187" t="str">
        <f>HYPERLINK("http://twitter.com/Sv3XTcFRUAHTYi9")</f>
        <v>http://twitter.com/Sv3XTcFRUAHTYi9</v>
      </c>
      <c r="L1187">
        <v>379</v>
      </c>
      <c r="M1187" t="s">
        <v>40</v>
      </c>
      <c r="N1187" t="s">
        <v>278</v>
      </c>
      <c r="R1187" t="s">
        <v>32</v>
      </c>
      <c r="S1187" t="s">
        <v>33</v>
      </c>
      <c r="T1187" t="s">
        <v>34</v>
      </c>
      <c r="U1187" t="s">
        <v>235</v>
      </c>
      <c r="V1187" t="s">
        <v>236</v>
      </c>
    </row>
    <row r="1188" spans="1:19" ht="16">
      <c r="A1188" t="s">
        <v>2300</v>
      </c>
      <c r="B1188" t="s">
        <v>3254</v>
      </c>
      <c r="C1188" t="s">
        <v>3255</v>
      </c>
      <c r="D1188" t="s">
        <v>3256</v>
      </c>
      <c r="E1188" t="s">
        <v>74</v>
      </c>
      <c r="F1188" t="s">
        <v>3</v>
      </c>
      <c r="G1188" t="str">
        <f>HYPERLINK("https://telegram.me/EDC_chat/761128")</f>
        <v>https://telegram.me/EDC_chat/761128</v>
      </c>
      <c r="H1188" t="s">
        <v>28</v>
      </c>
      <c r="I1188" t="s">
        <v>3257</v>
      </c>
      <c r="K1188" t="str">
        <f>HYPERLINK("https://telegram.me/8453614104")</f>
        <v>https://telegram.me/8453614104</v>
      </c>
      <c r="N1188" t="s">
        <v>346</v>
      </c>
      <c r="O1188" t="s">
        <v>3258</v>
      </c>
      <c r="P1188" t="str">
        <f>HYPERLINK("https://telegram.me/edc_chat")</f>
        <v>https://telegram.me/edc_chat</v>
      </c>
      <c r="Q1188">
        <v>830</v>
      </c>
      <c r="R1188" t="s">
        <v>347</v>
      </c>
      <c r="S1188" t="s">
        <v>33</v>
      </c>
    </row>
    <row r="1189" spans="1:22" ht="16">
      <c r="A1189" t="s">
        <v>2300</v>
      </c>
      <c r="B1189" t="s">
        <v>1205</v>
      </c>
      <c r="C1189" t="s">
        <v>80</v>
      </c>
      <c r="D1189" t="s">
        <v>3259</v>
      </c>
      <c r="E1189" t="s">
        <v>74</v>
      </c>
      <c r="F1189" t="s">
        <v>3</v>
      </c>
      <c r="G1189" t="str">
        <f>HYPERLINK("https://www.facebook.com/permalink.php?story_fbid=pfbid02rbt51TUb57HR4F6gBd5FwSTuyaUp3gHvM6gsAExHboTPbUq2FdNvTKt3sBpRB8pml&amp;id=100006975138432&amp;comment_id=978297395372761&amp;reply_comment_id=1122152119975977")</f>
        <v>https://www.facebook.com/permalink.php?story_fbid=pfbid02rbt51TUb57HR4F6gBd5FwSTuyaUp3gHvM6gsAExHboTPbUq2FdNvTKt3sBpRB8pml&amp;id=100006975138432&amp;comment_id=978297395372761&amp;reply_comment_id=1122152119975977</v>
      </c>
      <c r="H1189" t="s">
        <v>28</v>
      </c>
      <c r="I1189" t="s">
        <v>2140</v>
      </c>
      <c r="J1189" t="s">
        <v>2141</v>
      </c>
      <c r="K1189" t="str">
        <f>HYPERLINK("https://www.facebook.com/100001212091881")</f>
        <v>https://www.facebook.com/100001212091881</v>
      </c>
      <c r="M1189" t="s">
        <v>40</v>
      </c>
      <c r="N1189" t="s">
        <v>31</v>
      </c>
      <c r="O1189" t="s">
        <v>1399</v>
      </c>
      <c r="P1189" t="str">
        <f>HYPERLINK("https://www.facebook.com/100006975138432")</f>
        <v>https://www.facebook.com/100006975138432</v>
      </c>
      <c r="R1189" t="s">
        <v>32</v>
      </c>
      <c r="S1189" t="s">
        <v>85</v>
      </c>
      <c r="T1189" t="s">
        <v>34</v>
      </c>
      <c r="U1189" t="s">
        <v>58</v>
      </c>
      <c r="V1189" t="s">
        <v>58</v>
      </c>
    </row>
    <row r="1190" spans="1:20" ht="16">
      <c r="A1190" t="s">
        <v>2300</v>
      </c>
      <c r="B1190" t="s">
        <v>1208</v>
      </c>
      <c r="C1190" t="s">
        <v>24</v>
      </c>
      <c r="D1190" t="s">
        <v>2007</v>
      </c>
      <c r="E1190" t="s">
        <v>45</v>
      </c>
      <c r="F1190" t="s">
        <v>281</v>
      </c>
      <c r="G1190" t="str">
        <f>HYPERLINK("https://twitter.com/Oksi9999999/status/2027432420346065035")</f>
        <v>https://twitter.com/Oksi9999999/status/2027432420346065035</v>
      </c>
      <c r="H1190" t="s">
        <v>28</v>
      </c>
      <c r="I1190" t="s">
        <v>3260</v>
      </c>
      <c r="J1190" t="s">
        <v>3261</v>
      </c>
      <c r="K1190" t="str">
        <f>HYPERLINK("http://twitter.com/Oksi9999999")</f>
        <v>http://twitter.com/Oksi9999999</v>
      </c>
      <c r="L1190">
        <v>121</v>
      </c>
      <c r="N1190" t="s">
        <v>278</v>
      </c>
      <c r="R1190" t="s">
        <v>32</v>
      </c>
      <c r="S1190" t="s">
        <v>33</v>
      </c>
      <c r="T1190" t="s">
        <v>240</v>
      </c>
    </row>
    <row r="1191" spans="1:19" ht="16">
      <c r="A1191" t="s">
        <v>2300</v>
      </c>
      <c r="B1191" t="s">
        <v>1211</v>
      </c>
      <c r="C1191" t="s">
        <v>24</v>
      </c>
      <c r="D1191" t="s">
        <v>49</v>
      </c>
      <c r="E1191" t="s">
        <v>26</v>
      </c>
      <c r="F1191" t="s">
        <v>342</v>
      </c>
      <c r="G1191" t="str">
        <f>HYPERLINK("https://telegram.me/bairaktar_news/33758")</f>
        <v>https://telegram.me/bairaktar_news/33758</v>
      </c>
      <c r="H1191" t="s">
        <v>28</v>
      </c>
      <c r="I1191" t="s">
        <v>3262</v>
      </c>
      <c r="J1191" t="s">
        <v>3263</v>
      </c>
      <c r="K1191" t="str">
        <f>HYPERLINK("https://telegram.me/bairaktar_news")</f>
        <v>https://telegram.me/bairaktar_news</v>
      </c>
      <c r="L1191">
        <v>106</v>
      </c>
      <c r="M1191" t="s">
        <v>345</v>
      </c>
      <c r="N1191" t="s">
        <v>346</v>
      </c>
      <c r="O1191" t="s">
        <v>3262</v>
      </c>
      <c r="P1191" t="str">
        <f>HYPERLINK("https://telegram.me/bairaktar_news")</f>
        <v>https://telegram.me/bairaktar_news</v>
      </c>
      <c r="Q1191">
        <v>106</v>
      </c>
      <c r="R1191" t="s">
        <v>347</v>
      </c>
      <c r="S1191" t="s">
        <v>33</v>
      </c>
    </row>
    <row r="1192" spans="1:20" ht="16">
      <c r="A1192" t="s">
        <v>2300</v>
      </c>
      <c r="B1192" t="s">
        <v>1211</v>
      </c>
      <c r="C1192" t="s">
        <v>24</v>
      </c>
      <c r="D1192" t="s">
        <v>2007</v>
      </c>
      <c r="E1192" t="s">
        <v>45</v>
      </c>
      <c r="F1192" t="s">
        <v>281</v>
      </c>
      <c r="G1192" t="str">
        <f>HYPERLINK("https://twitter.com/MykolaN129542/status/2027432187499335706")</f>
        <v>https://twitter.com/MykolaN129542/status/2027432187499335706</v>
      </c>
      <c r="H1192" t="s">
        <v>28</v>
      </c>
      <c r="I1192" t="s">
        <v>2821</v>
      </c>
      <c r="J1192" t="s">
        <v>2822</v>
      </c>
      <c r="K1192" t="str">
        <f>HYPERLINK("http://twitter.com/MykolaN129542")</f>
        <v>http://twitter.com/MykolaN129542</v>
      </c>
      <c r="L1192">
        <v>7</v>
      </c>
      <c r="M1192" t="s">
        <v>40</v>
      </c>
      <c r="N1192" t="s">
        <v>278</v>
      </c>
      <c r="R1192" t="s">
        <v>32</v>
      </c>
      <c r="S1192" t="s">
        <v>33</v>
      </c>
      <c r="T1192" t="s">
        <v>34</v>
      </c>
    </row>
    <row r="1193" spans="1:22" ht="16">
      <c r="A1193" t="s">
        <v>2300</v>
      </c>
      <c r="B1193" t="s">
        <v>1211</v>
      </c>
      <c r="C1193" t="s">
        <v>24</v>
      </c>
      <c r="D1193" t="s">
        <v>2007</v>
      </c>
      <c r="E1193" t="s">
        <v>45</v>
      </c>
      <c r="F1193" t="s">
        <v>281</v>
      </c>
      <c r="G1193" t="str">
        <f>HYPERLINK("https://twitter.com/DAWGOR193/status/2027432126392545325")</f>
        <v>https://twitter.com/DAWGOR193/status/2027432126392545325</v>
      </c>
      <c r="H1193" t="s">
        <v>28</v>
      </c>
      <c r="I1193" t="s">
        <v>3264</v>
      </c>
      <c r="J1193" t="s">
        <v>3265</v>
      </c>
      <c r="K1193" t="str">
        <f>HYPERLINK("http://twitter.com/DAWGOR193")</f>
        <v>http://twitter.com/DAWGOR193</v>
      </c>
      <c r="L1193">
        <v>7934</v>
      </c>
      <c r="N1193" t="s">
        <v>278</v>
      </c>
      <c r="R1193" t="s">
        <v>32</v>
      </c>
      <c r="S1193" t="s">
        <v>33</v>
      </c>
      <c r="T1193" t="s">
        <v>34</v>
      </c>
      <c r="U1193" t="s">
        <v>58</v>
      </c>
      <c r="V1193" t="s">
        <v>58</v>
      </c>
    </row>
    <row r="1194" spans="1:19" ht="16">
      <c r="A1194" t="s">
        <v>2300</v>
      </c>
      <c r="B1194" t="s">
        <v>1211</v>
      </c>
      <c r="C1194" t="s">
        <v>3255</v>
      </c>
      <c r="D1194" t="s">
        <v>3266</v>
      </c>
      <c r="E1194" t="s">
        <v>74</v>
      </c>
      <c r="F1194" t="s">
        <v>3</v>
      </c>
      <c r="G1194" t="str">
        <f>HYPERLINK("https://telegram.me/EDC_chat/761120")</f>
        <v>https://telegram.me/EDC_chat/761120</v>
      </c>
      <c r="H1194" t="s">
        <v>28</v>
      </c>
      <c r="I1194" t="s">
        <v>3267</v>
      </c>
      <c r="K1194" t="str">
        <f>HYPERLINK("https://telegram.me/503452372")</f>
        <v>https://telegram.me/503452372</v>
      </c>
      <c r="N1194" t="s">
        <v>346</v>
      </c>
      <c r="O1194" t="s">
        <v>3258</v>
      </c>
      <c r="P1194" t="str">
        <f>HYPERLINK("https://telegram.me/edc_chat")</f>
        <v>https://telegram.me/edc_chat</v>
      </c>
      <c r="Q1194">
        <v>830</v>
      </c>
      <c r="R1194" t="s">
        <v>347</v>
      </c>
      <c r="S1194" t="s">
        <v>57</v>
      </c>
    </row>
    <row r="1195" spans="1:20" ht="16">
      <c r="A1195" t="s">
        <v>2300</v>
      </c>
      <c r="B1195" t="s">
        <v>1211</v>
      </c>
      <c r="C1195" t="s">
        <v>24</v>
      </c>
      <c r="D1195" t="s">
        <v>2007</v>
      </c>
      <c r="E1195" t="s">
        <v>45</v>
      </c>
      <c r="F1195" t="s">
        <v>281</v>
      </c>
      <c r="G1195" t="str">
        <f>HYPERLINK("https://twitter.com/Slav749/status/2027432085330288862")</f>
        <v>https://twitter.com/Slav749/status/2027432085330288862</v>
      </c>
      <c r="H1195" t="s">
        <v>28</v>
      </c>
      <c r="I1195" t="s">
        <v>3268</v>
      </c>
      <c r="J1195" t="s">
        <v>3269</v>
      </c>
      <c r="K1195" t="str">
        <f>HYPERLINK("http://twitter.com/Slav749")</f>
        <v>http://twitter.com/Slav749</v>
      </c>
      <c r="L1195">
        <v>204</v>
      </c>
      <c r="M1195" t="s">
        <v>40</v>
      </c>
      <c r="N1195" t="s">
        <v>278</v>
      </c>
      <c r="R1195" t="s">
        <v>32</v>
      </c>
      <c r="S1195" t="s">
        <v>33</v>
      </c>
      <c r="T1195" t="s">
        <v>34</v>
      </c>
    </row>
    <row r="1196" spans="1:22" ht="16">
      <c r="A1196" t="s">
        <v>2300</v>
      </c>
      <c r="B1196" t="s">
        <v>246</v>
      </c>
      <c r="C1196" t="s">
        <v>24</v>
      </c>
      <c r="D1196" t="s">
        <v>2007</v>
      </c>
      <c r="E1196" t="s">
        <v>45</v>
      </c>
      <c r="F1196" t="s">
        <v>281</v>
      </c>
      <c r="G1196" t="str">
        <f>HYPERLINK("https://twitter.com/Luganskiy_Twi/status/2027431762205278685")</f>
        <v>https://twitter.com/Luganskiy_Twi/status/2027431762205278685</v>
      </c>
      <c r="H1196" t="s">
        <v>28</v>
      </c>
      <c r="I1196" t="s">
        <v>3270</v>
      </c>
      <c r="J1196" t="s">
        <v>3271</v>
      </c>
      <c r="K1196" t="str">
        <f>HYPERLINK("http://twitter.com/Luganskiy_Twi")</f>
        <v>http://twitter.com/Luganskiy_Twi</v>
      </c>
      <c r="L1196">
        <v>15497</v>
      </c>
      <c r="M1196" t="s">
        <v>40</v>
      </c>
      <c r="N1196" t="s">
        <v>278</v>
      </c>
      <c r="R1196" t="s">
        <v>32</v>
      </c>
      <c r="S1196" t="s">
        <v>33</v>
      </c>
      <c r="T1196" t="s">
        <v>2681</v>
      </c>
      <c r="U1196" t="s">
        <v>3272</v>
      </c>
      <c r="V1196" t="s">
        <v>3272</v>
      </c>
    </row>
    <row r="1197" spans="1:20" ht="16">
      <c r="A1197" t="s">
        <v>2300</v>
      </c>
      <c r="B1197" t="s">
        <v>250</v>
      </c>
      <c r="C1197" t="s">
        <v>24</v>
      </c>
      <c r="D1197" t="s">
        <v>2007</v>
      </c>
      <c r="E1197" t="s">
        <v>45</v>
      </c>
      <c r="F1197" t="s">
        <v>281</v>
      </c>
      <c r="G1197" t="str">
        <f>HYPERLINK("https://twitter.com/kripak_95/status/2027431387561656766")</f>
        <v>https://twitter.com/kripak_95/status/2027431387561656766</v>
      </c>
      <c r="H1197" t="s">
        <v>28</v>
      </c>
      <c r="I1197" t="s">
        <v>3273</v>
      </c>
      <c r="J1197" t="s">
        <v>3274</v>
      </c>
      <c r="K1197" t="str">
        <f>HYPERLINK("http://twitter.com/kripak_95")</f>
        <v>http://twitter.com/kripak_95</v>
      </c>
      <c r="L1197">
        <v>34</v>
      </c>
      <c r="N1197" t="s">
        <v>278</v>
      </c>
      <c r="R1197" t="s">
        <v>32</v>
      </c>
      <c r="S1197" t="s">
        <v>33</v>
      </c>
      <c r="T1197" t="s">
        <v>34</v>
      </c>
    </row>
    <row r="1198" spans="1:19" ht="16">
      <c r="A1198" t="s">
        <v>2300</v>
      </c>
      <c r="B1198" t="s">
        <v>1215</v>
      </c>
      <c r="C1198" t="s">
        <v>3275</v>
      </c>
      <c r="D1198" t="s">
        <v>3276</v>
      </c>
      <c r="E1198" t="s">
        <v>74</v>
      </c>
      <c r="F1198" t="s">
        <v>102</v>
      </c>
      <c r="G1198" t="str">
        <f>HYPERLINK("https://telegram.me/spilnotass/11705735")</f>
        <v>https://telegram.me/spilnotass/11705735</v>
      </c>
      <c r="H1198" t="s">
        <v>28</v>
      </c>
      <c r="I1198" t="s">
        <v>3277</v>
      </c>
      <c r="J1198" t="s">
        <v>3278</v>
      </c>
      <c r="K1198" t="str">
        <f>HYPERLINK("https://telegram.me/gwyn_bleidd_a")</f>
        <v>https://telegram.me/gwyn_bleidd_a</v>
      </c>
      <c r="M1198" t="s">
        <v>40</v>
      </c>
      <c r="N1198" t="s">
        <v>346</v>
      </c>
      <c r="O1198" t="s">
        <v>3279</v>
      </c>
      <c r="P1198" t="str">
        <f>HYPERLINK("https://telegram.me/spilnotass")</f>
        <v>https://telegram.me/spilnotass</v>
      </c>
      <c r="Q1198">
        <v>65220</v>
      </c>
      <c r="R1198" t="s">
        <v>347</v>
      </c>
      <c r="S1198" t="s">
        <v>33</v>
      </c>
    </row>
    <row r="1199" spans="1:22" ht="16">
      <c r="A1199" t="s">
        <v>2300</v>
      </c>
      <c r="B1199" t="s">
        <v>3280</v>
      </c>
      <c r="C1199" t="s">
        <v>24</v>
      </c>
      <c r="D1199" t="s">
        <v>2007</v>
      </c>
      <c r="E1199" t="s">
        <v>45</v>
      </c>
      <c r="F1199" t="s">
        <v>281</v>
      </c>
      <c r="G1199" t="str">
        <f>HYPERLINK("https://twitter.com/geshanet/status/2027430709875396656")</f>
        <v>https://twitter.com/geshanet/status/2027430709875396656</v>
      </c>
      <c r="H1199" t="s">
        <v>28</v>
      </c>
      <c r="I1199" t="s">
        <v>3281</v>
      </c>
      <c r="J1199" t="s">
        <v>3282</v>
      </c>
      <c r="K1199" t="str">
        <f>HYPERLINK("http://twitter.com/geshanet")</f>
        <v>http://twitter.com/geshanet</v>
      </c>
      <c r="L1199">
        <v>3783</v>
      </c>
      <c r="N1199" t="s">
        <v>278</v>
      </c>
      <c r="R1199" t="s">
        <v>32</v>
      </c>
      <c r="S1199" t="s">
        <v>33</v>
      </c>
      <c r="T1199" t="s">
        <v>34</v>
      </c>
      <c r="U1199" t="s">
        <v>384</v>
      </c>
      <c r="V1199" t="s">
        <v>500</v>
      </c>
    </row>
    <row r="1200" spans="1:19" ht="16">
      <c r="A1200" t="s">
        <v>2300</v>
      </c>
      <c r="B1200" t="s">
        <v>3280</v>
      </c>
      <c r="C1200" t="s">
        <v>3255</v>
      </c>
      <c r="D1200" t="s">
        <v>3283</v>
      </c>
      <c r="E1200" t="s">
        <v>74</v>
      </c>
      <c r="F1200" t="s">
        <v>3</v>
      </c>
      <c r="G1200" t="str">
        <f>HYPERLINK("https://telegram.me/EDC_chat/761119")</f>
        <v>https://telegram.me/EDC_chat/761119</v>
      </c>
      <c r="H1200" t="s">
        <v>28</v>
      </c>
      <c r="I1200" t="s">
        <v>3284</v>
      </c>
      <c r="K1200" t="str">
        <f>HYPERLINK("https://telegram.me/7039989872")</f>
        <v>https://telegram.me/7039989872</v>
      </c>
      <c r="N1200" t="s">
        <v>346</v>
      </c>
      <c r="O1200" t="s">
        <v>3258</v>
      </c>
      <c r="P1200" t="str">
        <f>HYPERLINK("https://telegram.me/edc_chat")</f>
        <v>https://telegram.me/edc_chat</v>
      </c>
      <c r="Q1200">
        <v>830</v>
      </c>
      <c r="R1200" t="s">
        <v>347</v>
      </c>
      <c r="S1200" t="s">
        <v>85</v>
      </c>
    </row>
    <row r="1201" spans="1:19" ht="16">
      <c r="A1201" t="s">
        <v>2300</v>
      </c>
      <c r="B1201" t="s">
        <v>1218</v>
      </c>
      <c r="C1201" t="s">
        <v>24</v>
      </c>
      <c r="D1201" t="s">
        <v>49</v>
      </c>
      <c r="E1201" t="s">
        <v>45</v>
      </c>
      <c r="F1201" t="s">
        <v>342</v>
      </c>
      <c r="G1201" t="str">
        <f>HYPERLINK("https://telegram.me/ukr_pacific/351594")</f>
        <v>https://telegram.me/ukr_pacific/351594</v>
      </c>
      <c r="H1201" t="s">
        <v>28</v>
      </c>
      <c r="I1201" t="s">
        <v>3285</v>
      </c>
      <c r="K1201" t="str">
        <f>HYPERLINK("https://telegram.me/5666908950")</f>
        <v>https://telegram.me/5666908950</v>
      </c>
      <c r="N1201" t="s">
        <v>346</v>
      </c>
      <c r="O1201" t="s">
        <v>3286</v>
      </c>
      <c r="P1201" t="str">
        <f>HYPERLINK("https://telegram.me/ukr_pacific")</f>
        <v>https://telegram.me/ukr_pacific</v>
      </c>
      <c r="Q1201">
        <v>399</v>
      </c>
      <c r="R1201" t="s">
        <v>347</v>
      </c>
      <c r="S1201" t="s">
        <v>33</v>
      </c>
    </row>
    <row r="1202" spans="1:19" ht="16">
      <c r="A1202" t="s">
        <v>2300</v>
      </c>
      <c r="B1202" t="s">
        <v>3287</v>
      </c>
      <c r="C1202" t="s">
        <v>3255</v>
      </c>
      <c r="D1202" t="s">
        <v>3288</v>
      </c>
      <c r="E1202" t="s">
        <v>74</v>
      </c>
      <c r="F1202" t="s">
        <v>3</v>
      </c>
      <c r="G1202" t="str">
        <f>HYPERLINK("https://telegram.me/EDC_chat/761116")</f>
        <v>https://telegram.me/EDC_chat/761116</v>
      </c>
      <c r="H1202" t="s">
        <v>28</v>
      </c>
      <c r="I1202" t="s">
        <v>3284</v>
      </c>
      <c r="K1202" t="str">
        <f>HYPERLINK("https://telegram.me/7039989872")</f>
        <v>https://telegram.me/7039989872</v>
      </c>
      <c r="N1202" t="s">
        <v>346</v>
      </c>
      <c r="O1202" t="s">
        <v>3258</v>
      </c>
      <c r="P1202" t="str">
        <f>HYPERLINK("https://telegram.me/edc_chat")</f>
        <v>https://telegram.me/edc_chat</v>
      </c>
      <c r="Q1202">
        <v>830</v>
      </c>
      <c r="R1202" t="s">
        <v>347</v>
      </c>
      <c r="S1202" t="s">
        <v>57</v>
      </c>
    </row>
    <row r="1203" spans="1:19" ht="16">
      <c r="A1203" t="s">
        <v>2300</v>
      </c>
      <c r="B1203" t="s">
        <v>3287</v>
      </c>
      <c r="C1203" t="s">
        <v>3275</v>
      </c>
      <c r="D1203" t="s">
        <v>3289</v>
      </c>
      <c r="E1203" t="s">
        <v>74</v>
      </c>
      <c r="F1203" t="s">
        <v>3</v>
      </c>
      <c r="G1203" t="str">
        <f>HYPERLINK("https://telegram.me/spilnotass/11705727")</f>
        <v>https://telegram.me/spilnotass/11705727</v>
      </c>
      <c r="H1203" t="s">
        <v>28</v>
      </c>
      <c r="I1203" t="s">
        <v>3277</v>
      </c>
      <c r="J1203" t="s">
        <v>3278</v>
      </c>
      <c r="K1203" t="str">
        <f>HYPERLINK("https://telegram.me/gwyn_bleidd_a")</f>
        <v>https://telegram.me/gwyn_bleidd_a</v>
      </c>
      <c r="M1203" t="s">
        <v>40</v>
      </c>
      <c r="N1203" t="s">
        <v>346</v>
      </c>
      <c r="O1203" t="s">
        <v>3279</v>
      </c>
      <c r="P1203" t="str">
        <f>HYPERLINK("https://telegram.me/spilnotass")</f>
        <v>https://telegram.me/spilnotass</v>
      </c>
      <c r="Q1203">
        <v>65220</v>
      </c>
      <c r="R1203" t="s">
        <v>347</v>
      </c>
      <c r="S1203" t="s">
        <v>33</v>
      </c>
    </row>
    <row r="1204" spans="1:22" ht="16">
      <c r="A1204" t="s">
        <v>2300</v>
      </c>
      <c r="B1204" t="s">
        <v>3287</v>
      </c>
      <c r="C1204" t="s">
        <v>24</v>
      </c>
      <c r="D1204" t="s">
        <v>142</v>
      </c>
      <c r="E1204" t="s">
        <v>26</v>
      </c>
      <c r="F1204" t="s">
        <v>46</v>
      </c>
      <c r="G1204" t="str">
        <f>HYPERLINK("https://www.facebook.com/4518398785106287")</f>
        <v>https://www.facebook.com/4518398785106287</v>
      </c>
      <c r="H1204" t="s">
        <v>28</v>
      </c>
      <c r="I1204" t="s">
        <v>3290</v>
      </c>
      <c r="K1204" t="str">
        <f>HYPERLINK("https://www.facebook.com/100025736401469")</f>
        <v>https://www.facebook.com/100025736401469</v>
      </c>
      <c r="L1204">
        <v>682</v>
      </c>
      <c r="M1204" t="s">
        <v>40</v>
      </c>
      <c r="N1204" t="s">
        <v>31</v>
      </c>
      <c r="O1204" t="s">
        <v>3291</v>
      </c>
      <c r="P1204" t="str">
        <f>HYPERLINK("https://www.facebook.com/2322684024677785")</f>
        <v>https://www.facebook.com/2322684024677785</v>
      </c>
      <c r="Q1204">
        <v>22097</v>
      </c>
      <c r="R1204" t="s">
        <v>32</v>
      </c>
      <c r="S1204" t="s">
        <v>33</v>
      </c>
      <c r="T1204" t="s">
        <v>62</v>
      </c>
      <c r="U1204" t="s">
        <v>691</v>
      </c>
      <c r="V1204" t="s">
        <v>692</v>
      </c>
    </row>
    <row r="1205" spans="1:22" ht="16">
      <c r="A1205" t="s">
        <v>2300</v>
      </c>
      <c r="B1205" t="s">
        <v>3287</v>
      </c>
      <c r="C1205" t="s">
        <v>24</v>
      </c>
      <c r="D1205" t="s">
        <v>142</v>
      </c>
      <c r="E1205" t="s">
        <v>26</v>
      </c>
      <c r="F1205" t="s">
        <v>46</v>
      </c>
      <c r="G1205" t="str">
        <f>HYPERLINK("https://www.facebook.com/4459702794352465")</f>
        <v>https://www.facebook.com/4459702794352465</v>
      </c>
      <c r="H1205" t="s">
        <v>28</v>
      </c>
      <c r="I1205" t="s">
        <v>3290</v>
      </c>
      <c r="K1205" t="str">
        <f>HYPERLINK("https://www.facebook.com/100025736401469")</f>
        <v>https://www.facebook.com/100025736401469</v>
      </c>
      <c r="L1205">
        <v>682</v>
      </c>
      <c r="M1205" t="s">
        <v>40</v>
      </c>
      <c r="N1205" t="s">
        <v>31</v>
      </c>
      <c r="O1205" t="s">
        <v>3292</v>
      </c>
      <c r="P1205" t="str">
        <f>HYPERLINK("https://www.facebook.com/1810530559269715")</f>
        <v>https://www.facebook.com/1810530559269715</v>
      </c>
      <c r="Q1205">
        <v>16168</v>
      </c>
      <c r="R1205" t="s">
        <v>32</v>
      </c>
      <c r="S1205" t="s">
        <v>33</v>
      </c>
      <c r="T1205" t="s">
        <v>62</v>
      </c>
      <c r="U1205" t="s">
        <v>691</v>
      </c>
      <c r="V1205" t="s">
        <v>692</v>
      </c>
    </row>
    <row r="1206" spans="1:22" ht="16">
      <c r="A1206" t="s">
        <v>2300</v>
      </c>
      <c r="B1206" t="s">
        <v>3287</v>
      </c>
      <c r="C1206" t="s">
        <v>80</v>
      </c>
      <c r="D1206" t="s">
        <v>3293</v>
      </c>
      <c r="E1206" t="s">
        <v>74</v>
      </c>
      <c r="F1206" t="s">
        <v>3</v>
      </c>
      <c r="G1206" t="str">
        <f>HYPERLINK("https://www.facebook.com/permalink.php?story_fbid=pfbid02rbt51TUb57HR4F6gBd5FwSTuyaUp3gHvM6gsAExHboTPbUq2FdNvTKt3sBpRB8pml&amp;id=100006975138432&amp;comment_id=996164533586194")</f>
        <v>https://www.facebook.com/permalink.php?story_fbid=pfbid02rbt51TUb57HR4F6gBd5FwSTuyaUp3gHvM6gsAExHboTPbUq2FdNvTKt3sBpRB8pml&amp;id=100006975138432&amp;comment_id=996164533586194</v>
      </c>
      <c r="H1206" t="s">
        <v>28</v>
      </c>
      <c r="I1206" t="s">
        <v>3294</v>
      </c>
      <c r="J1206" t="s">
        <v>3295</v>
      </c>
      <c r="K1206" t="str">
        <f>HYPERLINK("https://www.facebook.com/100010564685053")</f>
        <v>https://www.facebook.com/100010564685053</v>
      </c>
      <c r="M1206" t="s">
        <v>40</v>
      </c>
      <c r="N1206" t="s">
        <v>31</v>
      </c>
      <c r="O1206" t="s">
        <v>1399</v>
      </c>
      <c r="P1206" t="str">
        <f>HYPERLINK("https://www.facebook.com/100006975138432")</f>
        <v>https://www.facebook.com/100006975138432</v>
      </c>
      <c r="R1206" t="s">
        <v>32</v>
      </c>
      <c r="S1206" t="s">
        <v>85</v>
      </c>
      <c r="T1206" t="s">
        <v>34</v>
      </c>
      <c r="U1206" t="s">
        <v>58</v>
      </c>
      <c r="V1206" t="s">
        <v>58</v>
      </c>
    </row>
    <row r="1207" spans="1:19" ht="16">
      <c r="A1207" t="s">
        <v>2300</v>
      </c>
      <c r="B1207" t="s">
        <v>1222</v>
      </c>
      <c r="C1207" t="s">
        <v>3275</v>
      </c>
      <c r="D1207" t="s">
        <v>3296</v>
      </c>
      <c r="E1207" t="s">
        <v>74</v>
      </c>
      <c r="F1207" t="s">
        <v>3</v>
      </c>
      <c r="G1207" t="str">
        <f>HYPERLINK("https://telegram.me/spilnotass/11705722")</f>
        <v>https://telegram.me/spilnotass/11705722</v>
      </c>
      <c r="H1207" t="s">
        <v>28</v>
      </c>
      <c r="I1207" t="s">
        <v>3297</v>
      </c>
      <c r="K1207" t="str">
        <f>HYPERLINK("https://telegram.me/7614069678")</f>
        <v>https://telegram.me/7614069678</v>
      </c>
      <c r="M1207" t="s">
        <v>40</v>
      </c>
      <c r="N1207" t="s">
        <v>346</v>
      </c>
      <c r="O1207" t="s">
        <v>3279</v>
      </c>
      <c r="P1207" t="str">
        <f>HYPERLINK("https://telegram.me/spilnotass")</f>
        <v>https://telegram.me/spilnotass</v>
      </c>
      <c r="Q1207">
        <v>65220</v>
      </c>
      <c r="R1207" t="s">
        <v>347</v>
      </c>
      <c r="S1207" t="s">
        <v>85</v>
      </c>
    </row>
    <row r="1208" spans="1:19" ht="16">
      <c r="A1208" t="s">
        <v>2300</v>
      </c>
      <c r="B1208" t="s">
        <v>259</v>
      </c>
      <c r="C1208" t="s">
        <v>3275</v>
      </c>
      <c r="D1208" t="s">
        <v>3298</v>
      </c>
      <c r="E1208" t="s">
        <v>74</v>
      </c>
      <c r="F1208" t="s">
        <v>3</v>
      </c>
      <c r="G1208" t="str">
        <f>HYPERLINK("https://telegram.me/spilnotass/11705718")</f>
        <v>https://telegram.me/spilnotass/11705718</v>
      </c>
      <c r="H1208" t="s">
        <v>28</v>
      </c>
      <c r="I1208" t="s">
        <v>3299</v>
      </c>
      <c r="J1208" t="s">
        <v>3300</v>
      </c>
      <c r="K1208" t="str">
        <f>HYPERLINK("https://telegram.me/qelfin")</f>
        <v>https://telegram.me/qelfin</v>
      </c>
      <c r="M1208" t="s">
        <v>40</v>
      </c>
      <c r="N1208" t="s">
        <v>346</v>
      </c>
      <c r="O1208" t="s">
        <v>3279</v>
      </c>
      <c r="P1208" t="str">
        <f>HYPERLINK("https://telegram.me/spilnotass")</f>
        <v>https://telegram.me/spilnotass</v>
      </c>
      <c r="Q1208">
        <v>65220</v>
      </c>
      <c r="R1208" t="s">
        <v>347</v>
      </c>
      <c r="S1208" t="s">
        <v>33</v>
      </c>
    </row>
    <row r="1209" spans="1:19" ht="16">
      <c r="A1209" t="s">
        <v>2300</v>
      </c>
      <c r="B1209" t="s">
        <v>3301</v>
      </c>
      <c r="C1209" t="s">
        <v>24</v>
      </c>
      <c r="D1209" t="s">
        <v>3302</v>
      </c>
      <c r="E1209" t="s">
        <v>26</v>
      </c>
      <c r="F1209" t="s">
        <v>3</v>
      </c>
      <c r="G1209" t="str">
        <f>HYPERLINK("https://telegram.me/spilnotass/11705715")</f>
        <v>https://telegram.me/spilnotass/11705715</v>
      </c>
      <c r="H1209" t="s">
        <v>28</v>
      </c>
      <c r="I1209" t="s">
        <v>3277</v>
      </c>
      <c r="J1209" t="s">
        <v>3278</v>
      </c>
      <c r="K1209" t="str">
        <f>HYPERLINK("https://telegram.me/gwyn_bleidd_a")</f>
        <v>https://telegram.me/gwyn_bleidd_a</v>
      </c>
      <c r="M1209" t="s">
        <v>40</v>
      </c>
      <c r="N1209" t="s">
        <v>346</v>
      </c>
      <c r="O1209" t="s">
        <v>3279</v>
      </c>
      <c r="P1209" t="str">
        <f>HYPERLINK("https://telegram.me/spilnotass")</f>
        <v>https://telegram.me/spilnotass</v>
      </c>
      <c r="Q1209">
        <v>65220</v>
      </c>
      <c r="R1209" t="s">
        <v>347</v>
      </c>
      <c r="S1209" t="s">
        <v>33</v>
      </c>
    </row>
    <row r="1210" spans="1:19" ht="16">
      <c r="A1210" t="s">
        <v>2300</v>
      </c>
      <c r="B1210" t="s">
        <v>3301</v>
      </c>
      <c r="C1210" t="s">
        <v>24</v>
      </c>
      <c r="D1210" t="s">
        <v>2497</v>
      </c>
      <c r="E1210" t="s">
        <v>45</v>
      </c>
      <c r="F1210" t="s">
        <v>342</v>
      </c>
      <c r="G1210" t="str">
        <f>HYPERLINK("https://telegram.me/EDC_chat/761106")</f>
        <v>https://telegram.me/EDC_chat/761106</v>
      </c>
      <c r="H1210" t="s">
        <v>28</v>
      </c>
      <c r="I1210" t="s">
        <v>3303</v>
      </c>
      <c r="K1210" t="str">
        <f>HYPERLINK("https://telegram.me/726121948")</f>
        <v>https://telegram.me/726121948</v>
      </c>
      <c r="N1210" t="s">
        <v>346</v>
      </c>
      <c r="O1210" t="s">
        <v>3258</v>
      </c>
      <c r="P1210" t="str">
        <f>HYPERLINK("https://telegram.me/edc_chat")</f>
        <v>https://telegram.me/edc_chat</v>
      </c>
      <c r="Q1210">
        <v>830</v>
      </c>
      <c r="R1210" t="s">
        <v>347</v>
      </c>
      <c r="S1210" t="s">
        <v>33</v>
      </c>
    </row>
    <row r="1211" spans="1:22" ht="16">
      <c r="A1211" t="s">
        <v>2300</v>
      </c>
      <c r="B1211" t="s">
        <v>1235</v>
      </c>
      <c r="C1211" t="s">
        <v>24</v>
      </c>
      <c r="D1211" t="s">
        <v>2497</v>
      </c>
      <c r="E1211" t="s">
        <v>45</v>
      </c>
      <c r="F1211" t="s">
        <v>46</v>
      </c>
      <c r="G1211" t="str">
        <f>HYPERLINK("https://www.facebook.com/26483942554556452")</f>
        <v>https://www.facebook.com/26483942554556452</v>
      </c>
      <c r="H1211" t="s">
        <v>28</v>
      </c>
      <c r="I1211" t="s">
        <v>3304</v>
      </c>
      <c r="J1211" t="s">
        <v>3305</v>
      </c>
      <c r="K1211" t="str">
        <f>HYPERLINK("https://www.facebook.com/100001022030143")</f>
        <v>https://www.facebook.com/100001022030143</v>
      </c>
      <c r="M1211" t="s">
        <v>40</v>
      </c>
      <c r="N1211" t="s">
        <v>31</v>
      </c>
      <c r="O1211" t="s">
        <v>3304</v>
      </c>
      <c r="P1211" t="str">
        <f>HYPERLINK("https://www.facebook.com/100001022030143")</f>
        <v>https://www.facebook.com/100001022030143</v>
      </c>
      <c r="R1211" t="s">
        <v>32</v>
      </c>
      <c r="S1211" t="s">
        <v>33</v>
      </c>
      <c r="T1211" t="s">
        <v>34</v>
      </c>
      <c r="U1211" t="s">
        <v>408</v>
      </c>
      <c r="V1211" t="s">
        <v>3306</v>
      </c>
    </row>
    <row r="1212" spans="1:19" ht="16">
      <c r="A1212" t="s">
        <v>2300</v>
      </c>
      <c r="B1212" t="s">
        <v>1235</v>
      </c>
      <c r="C1212" t="s">
        <v>24</v>
      </c>
      <c r="D1212" t="s">
        <v>49</v>
      </c>
      <c r="E1212" t="s">
        <v>45</v>
      </c>
      <c r="F1212" t="s">
        <v>342</v>
      </c>
      <c r="G1212" t="str">
        <f>HYPERLINK("https://telegram.me/info_ua_news/185767")</f>
        <v>https://telegram.me/info_ua_news/185767</v>
      </c>
      <c r="H1212" t="s">
        <v>28</v>
      </c>
      <c r="I1212" t="s">
        <v>3307</v>
      </c>
      <c r="J1212" t="s">
        <v>3308</v>
      </c>
      <c r="K1212" t="str">
        <f>HYPERLINK("https://telegram.me/info_ua_news")</f>
        <v>https://telegram.me/info_ua_news</v>
      </c>
      <c r="L1212">
        <v>32</v>
      </c>
      <c r="M1212" t="s">
        <v>345</v>
      </c>
      <c r="N1212" t="s">
        <v>346</v>
      </c>
      <c r="O1212" t="s">
        <v>3307</v>
      </c>
      <c r="P1212" t="str">
        <f>HYPERLINK("https://telegram.me/info_ua_news")</f>
        <v>https://telegram.me/info_ua_news</v>
      </c>
      <c r="Q1212">
        <v>32</v>
      </c>
      <c r="R1212" t="s">
        <v>347</v>
      </c>
      <c r="S1212" t="s">
        <v>33</v>
      </c>
    </row>
    <row r="1213" spans="1:20" ht="16">
      <c r="A1213" t="s">
        <v>2300</v>
      </c>
      <c r="B1213" t="s">
        <v>3309</v>
      </c>
      <c r="C1213" t="s">
        <v>24</v>
      </c>
      <c r="D1213" t="s">
        <v>2007</v>
      </c>
      <c r="E1213" t="s">
        <v>45</v>
      </c>
      <c r="F1213" t="s">
        <v>281</v>
      </c>
      <c r="G1213" t="str">
        <f>HYPERLINK("https://twitter.com/bdy0771/status/2027428610164822288")</f>
        <v>https://twitter.com/bdy0771/status/2027428610164822288</v>
      </c>
      <c r="H1213" t="s">
        <v>28</v>
      </c>
      <c r="I1213" t="s">
        <v>1157</v>
      </c>
      <c r="J1213" t="s">
        <v>1158</v>
      </c>
      <c r="K1213" t="str">
        <f>HYPERLINK("http://twitter.com/bdy0771")</f>
        <v>http://twitter.com/bdy0771</v>
      </c>
      <c r="L1213">
        <v>1153</v>
      </c>
      <c r="N1213" t="s">
        <v>278</v>
      </c>
      <c r="R1213" t="s">
        <v>32</v>
      </c>
      <c r="S1213" t="s">
        <v>33</v>
      </c>
      <c r="T1213" t="s">
        <v>34</v>
      </c>
    </row>
    <row r="1214" spans="1:19" ht="16">
      <c r="A1214" t="s">
        <v>2300</v>
      </c>
      <c r="B1214" t="s">
        <v>3309</v>
      </c>
      <c r="C1214" t="s">
        <v>24</v>
      </c>
      <c r="D1214" t="s">
        <v>49</v>
      </c>
      <c r="E1214" t="s">
        <v>26</v>
      </c>
      <c r="F1214" t="s">
        <v>342</v>
      </c>
      <c r="G1214" t="str">
        <f>HYPERLINK("https://telegram.me/merchkurilka/2480221")</f>
        <v>https://telegram.me/merchkurilka/2480221</v>
      </c>
      <c r="H1214" t="s">
        <v>28</v>
      </c>
      <c r="I1214" t="s">
        <v>3310</v>
      </c>
      <c r="J1214" t="s">
        <v>3311</v>
      </c>
      <c r="K1214" t="str">
        <f>HYPERLINK("https://telegram.me/l1l1ns")</f>
        <v>https://telegram.me/l1l1ns</v>
      </c>
      <c r="N1214" t="s">
        <v>346</v>
      </c>
      <c r="O1214" t="s">
        <v>2870</v>
      </c>
      <c r="P1214" t="str">
        <f>HYPERLINK("https://telegram.me/merchkurilka")</f>
        <v>https://telegram.me/merchkurilka</v>
      </c>
      <c r="Q1214">
        <v>3431</v>
      </c>
      <c r="R1214" t="s">
        <v>347</v>
      </c>
      <c r="S1214" t="s">
        <v>33</v>
      </c>
    </row>
    <row r="1215" spans="1:20" ht="16">
      <c r="A1215" t="s">
        <v>2300</v>
      </c>
      <c r="B1215" t="s">
        <v>3312</v>
      </c>
      <c r="C1215" t="s">
        <v>24</v>
      </c>
      <c r="D1215" t="s">
        <v>2007</v>
      </c>
      <c r="E1215" t="s">
        <v>45</v>
      </c>
      <c r="F1215" t="s">
        <v>281</v>
      </c>
      <c r="G1215" t="str">
        <f>HYPERLINK("https://twitter.com/ALAl18840361/status/2027428239900094642")</f>
        <v>https://twitter.com/ALAl18840361/status/2027428239900094642</v>
      </c>
      <c r="H1215" t="s">
        <v>28</v>
      </c>
      <c r="I1215" t="s">
        <v>3313</v>
      </c>
      <c r="J1215" t="s">
        <v>3314</v>
      </c>
      <c r="K1215" t="str">
        <f>HYPERLINK("http://twitter.com/ALAl18840361")</f>
        <v>http://twitter.com/ALAl18840361</v>
      </c>
      <c r="L1215">
        <v>1341</v>
      </c>
      <c r="N1215" t="s">
        <v>278</v>
      </c>
      <c r="R1215" t="s">
        <v>32</v>
      </c>
      <c r="S1215" t="s">
        <v>33</v>
      </c>
      <c r="T1215" t="s">
        <v>34</v>
      </c>
    </row>
    <row r="1216" spans="1:22" ht="16">
      <c r="A1216" t="s">
        <v>2300</v>
      </c>
      <c r="B1216" t="s">
        <v>3312</v>
      </c>
      <c r="C1216" t="s">
        <v>80</v>
      </c>
      <c r="D1216" t="s">
        <v>3315</v>
      </c>
      <c r="E1216" t="s">
        <v>74</v>
      </c>
      <c r="F1216" t="s">
        <v>3</v>
      </c>
      <c r="G1216" t="str">
        <f>HYPERLINK("https://www.facebook.com/permalink.php?story_fbid=pfbid02rbt51TUb57HR4F6gBd5FwSTuyaUp3gHvM6gsAExHboTPbUq2FdNvTKt3sBpRB8pml&amp;id=100006975138432&amp;comment_id=26078528701811922&amp;reply_comment_id=1344521124387963")</f>
        <v>https://www.facebook.com/permalink.php?story_fbid=pfbid02rbt51TUb57HR4F6gBd5FwSTuyaUp3gHvM6gsAExHboTPbUq2FdNvTKt3sBpRB8pml&amp;id=100006975138432&amp;comment_id=26078528701811922&amp;reply_comment_id=1344521124387963</v>
      </c>
      <c r="H1216" t="s">
        <v>28</v>
      </c>
      <c r="I1216" t="s">
        <v>1399</v>
      </c>
      <c r="K1216" t="str">
        <f>HYPERLINK("https://www.facebook.com/100006975138432")</f>
        <v>https://www.facebook.com/100006975138432</v>
      </c>
      <c r="M1216" t="s">
        <v>40</v>
      </c>
      <c r="N1216" t="s">
        <v>31</v>
      </c>
      <c r="O1216" t="s">
        <v>1399</v>
      </c>
      <c r="P1216" t="str">
        <f>HYPERLINK("https://www.facebook.com/100006975138432")</f>
        <v>https://www.facebook.com/100006975138432</v>
      </c>
      <c r="R1216" t="s">
        <v>32</v>
      </c>
      <c r="S1216" t="s">
        <v>33</v>
      </c>
      <c r="T1216" t="s">
        <v>34</v>
      </c>
      <c r="U1216" t="s">
        <v>58</v>
      </c>
      <c r="V1216" t="s">
        <v>58</v>
      </c>
    </row>
    <row r="1217" spans="1:22" ht="16">
      <c r="A1217" t="s">
        <v>2300</v>
      </c>
      <c r="B1217" t="s">
        <v>3316</v>
      </c>
      <c r="C1217" t="s">
        <v>24</v>
      </c>
      <c r="D1217" t="s">
        <v>824</v>
      </c>
      <c r="E1217" t="s">
        <v>26</v>
      </c>
      <c r="F1217" t="s">
        <v>46</v>
      </c>
      <c r="G1217" t="str">
        <f>HYPERLINK("https://www.facebook.com/3332742730208675")</f>
        <v>https://www.facebook.com/3332742730208675</v>
      </c>
      <c r="H1217" t="s">
        <v>28</v>
      </c>
      <c r="I1217" t="s">
        <v>2915</v>
      </c>
      <c r="K1217" t="str">
        <f>HYPERLINK("https://www.facebook.com/100009423039722")</f>
        <v>https://www.facebook.com/100009423039722</v>
      </c>
      <c r="M1217" t="s">
        <v>40</v>
      </c>
      <c r="N1217" t="s">
        <v>31</v>
      </c>
      <c r="O1217" t="s">
        <v>2383</v>
      </c>
      <c r="P1217" t="str">
        <f>HYPERLINK("https://www.facebook.com/606259306190378")</f>
        <v>https://www.facebook.com/606259306190378</v>
      </c>
      <c r="Q1217">
        <v>3386</v>
      </c>
      <c r="R1217" t="s">
        <v>32</v>
      </c>
      <c r="S1217" t="s">
        <v>33</v>
      </c>
      <c r="T1217" t="s">
        <v>256</v>
      </c>
      <c r="U1217" t="s">
        <v>992</v>
      </c>
      <c r="V1217" t="s">
        <v>992</v>
      </c>
    </row>
    <row r="1218" spans="1:19" ht="16">
      <c r="A1218" t="s">
        <v>2300</v>
      </c>
      <c r="B1218" t="s">
        <v>3317</v>
      </c>
      <c r="C1218" t="s">
        <v>24</v>
      </c>
      <c r="D1218" t="s">
        <v>3318</v>
      </c>
      <c r="E1218" t="s">
        <v>26</v>
      </c>
      <c r="F1218" t="s">
        <v>46</v>
      </c>
      <c r="G1218" t="str">
        <f>HYPERLINK("https://www.threads.net/@euromaydan/post/DVRNKtUDWxu")</f>
        <v>https://www.threads.net/@euromaydan/post/DVRNKtUDWxu</v>
      </c>
      <c r="H1218" t="s">
        <v>28</v>
      </c>
      <c r="I1218" t="s">
        <v>3319</v>
      </c>
      <c r="J1218" t="s">
        <v>3320</v>
      </c>
      <c r="K1218" t="str">
        <f>HYPERLINK("https://www.threads.net/@euromaydan")</f>
        <v>https://www.threads.net/@euromaydan</v>
      </c>
      <c r="L1218">
        <v>282</v>
      </c>
      <c r="N1218" t="s">
        <v>1980</v>
      </c>
      <c r="R1218" t="s">
        <v>32</v>
      </c>
      <c r="S1218" t="s">
        <v>33</v>
      </c>
    </row>
    <row r="1219" spans="1:19" ht="16">
      <c r="A1219" t="s">
        <v>2300</v>
      </c>
      <c r="B1219" t="s">
        <v>3317</v>
      </c>
      <c r="C1219" t="s">
        <v>24</v>
      </c>
      <c r="D1219" t="s">
        <v>3321</v>
      </c>
      <c r="E1219" t="s">
        <v>74</v>
      </c>
      <c r="F1219" t="s">
        <v>3</v>
      </c>
      <c r="G1219" t="str">
        <f>HYPERLINK("https://telegram.me/steamdeck_ua/1064637")</f>
        <v>https://telegram.me/steamdeck_ua/1064637</v>
      </c>
      <c r="H1219" t="s">
        <v>28</v>
      </c>
      <c r="I1219" t="s">
        <v>3322</v>
      </c>
      <c r="J1219" t="s">
        <v>3323</v>
      </c>
      <c r="K1219" t="str">
        <f>HYPERLINK("https://telegram.me/din_feta_kompis")</f>
        <v>https://telegram.me/din_feta_kompis</v>
      </c>
      <c r="N1219" t="s">
        <v>346</v>
      </c>
      <c r="O1219" t="s">
        <v>3324</v>
      </c>
      <c r="P1219" t="str">
        <f>HYPERLINK("https://telegram.me/steamdeck_ua")</f>
        <v>https://telegram.me/steamdeck_ua</v>
      </c>
      <c r="Q1219">
        <v>4393</v>
      </c>
      <c r="R1219" t="s">
        <v>347</v>
      </c>
      <c r="S1219" t="s">
        <v>85</v>
      </c>
    </row>
    <row r="1220" spans="1:19" ht="16">
      <c r="A1220" t="s">
        <v>2300</v>
      </c>
      <c r="B1220" t="s">
        <v>267</v>
      </c>
      <c r="C1220" t="s">
        <v>24</v>
      </c>
      <c r="D1220" t="s">
        <v>49</v>
      </c>
      <c r="E1220" t="s">
        <v>45</v>
      </c>
      <c r="F1220" t="s">
        <v>342</v>
      </c>
      <c r="G1220" t="str">
        <f>HYPERLINK("https://telegram.me/PirateChatPiM/2015403")</f>
        <v>https://telegram.me/PirateChatPiM/2015403</v>
      </c>
      <c r="H1220" t="s">
        <v>28</v>
      </c>
      <c r="I1220" t="s">
        <v>3322</v>
      </c>
      <c r="J1220" t="s">
        <v>3323</v>
      </c>
      <c r="K1220" t="str">
        <f>HYPERLINK("https://telegram.me/din_feta_kompis")</f>
        <v>https://telegram.me/din_feta_kompis</v>
      </c>
      <c r="N1220" t="s">
        <v>346</v>
      </c>
      <c r="O1220" t="s">
        <v>3325</v>
      </c>
      <c r="P1220" t="str">
        <f>HYPERLINK("https://telegram.me/piratechatpim")</f>
        <v>https://telegram.me/piratechatpim</v>
      </c>
      <c r="Q1220">
        <v>257</v>
      </c>
      <c r="R1220" t="s">
        <v>347</v>
      </c>
      <c r="S1220" t="s">
        <v>33</v>
      </c>
    </row>
    <row r="1221" spans="1:22" ht="16">
      <c r="A1221" t="s">
        <v>2300</v>
      </c>
      <c r="B1221" t="s">
        <v>267</v>
      </c>
      <c r="C1221" t="s">
        <v>72</v>
      </c>
      <c r="D1221" t="s">
        <v>3326</v>
      </c>
      <c r="E1221" t="s">
        <v>74</v>
      </c>
      <c r="F1221" t="s">
        <v>3</v>
      </c>
      <c r="G1221" t="str">
        <f>HYPERLINK("https://www.facebook.com/antonov.vs/posts/pfbid0WoDA925DuzoodzbS7V28bt4ds9TmfsHEXjvxieTXWzQ3cuc53piJ6r5PvYjhKEdjl?comment_id=1468397361551761")</f>
        <v>https://www.facebook.com/antonov.vs/posts/pfbid0WoDA925DuzoodzbS7V28bt4ds9TmfsHEXjvxieTXWzQ3cuc53piJ6r5PvYjhKEdjl?comment_id=1468397361551761</v>
      </c>
      <c r="H1221" t="s">
        <v>28</v>
      </c>
      <c r="I1221" t="s">
        <v>3327</v>
      </c>
      <c r="K1221" t="str">
        <f>HYPERLINK("https://www.facebook.com/100088049494286")</f>
        <v>https://www.facebook.com/100088049494286</v>
      </c>
      <c r="M1221" t="s">
        <v>40</v>
      </c>
      <c r="N1221" t="s">
        <v>31</v>
      </c>
      <c r="O1221" t="s">
        <v>1127</v>
      </c>
      <c r="P1221" t="str">
        <f>HYPERLINK("https://www.facebook.com/100002292546539")</f>
        <v>https://www.facebook.com/100002292546539</v>
      </c>
      <c r="Q1221">
        <v>485</v>
      </c>
      <c r="R1221" t="s">
        <v>32</v>
      </c>
      <c r="S1221" t="s">
        <v>85</v>
      </c>
      <c r="T1221" t="s">
        <v>34</v>
      </c>
      <c r="U1221" t="s">
        <v>1308</v>
      </c>
      <c r="V1221" t="s">
        <v>1309</v>
      </c>
    </row>
    <row r="1222" spans="1:19" ht="16">
      <c r="A1222" t="s">
        <v>2300</v>
      </c>
      <c r="B1222" t="s">
        <v>267</v>
      </c>
      <c r="C1222" t="s">
        <v>24</v>
      </c>
      <c r="D1222" t="s">
        <v>3328</v>
      </c>
      <c r="E1222" t="s">
        <v>26</v>
      </c>
      <c r="F1222" t="s">
        <v>3</v>
      </c>
      <c r="G1222" t="str">
        <f>HYPERLINK("https://telegram.me/infosec_kpi_chat/45730")</f>
        <v>https://telegram.me/infosec_kpi_chat/45730</v>
      </c>
      <c r="H1222" t="s">
        <v>28</v>
      </c>
      <c r="I1222" t="s">
        <v>3329</v>
      </c>
      <c r="K1222" t="str">
        <f>HYPERLINK("https://telegram.me/454433195")</f>
        <v>https://telegram.me/454433195</v>
      </c>
      <c r="M1222" t="s">
        <v>40</v>
      </c>
      <c r="N1222" t="s">
        <v>346</v>
      </c>
      <c r="O1222" t="s">
        <v>3330</v>
      </c>
      <c r="P1222" t="str">
        <f>HYPERLINK("https://telegram.me/infosec_kpi_chat")</f>
        <v>https://telegram.me/infosec_kpi_chat</v>
      </c>
      <c r="Q1222">
        <v>366</v>
      </c>
      <c r="R1222" t="s">
        <v>347</v>
      </c>
      <c r="S1222" t="s">
        <v>33</v>
      </c>
    </row>
    <row r="1223" spans="1:22" ht="16">
      <c r="A1223" t="s">
        <v>2300</v>
      </c>
      <c r="B1223" t="s">
        <v>267</v>
      </c>
      <c r="C1223" t="s">
        <v>24</v>
      </c>
      <c r="D1223" t="s">
        <v>2007</v>
      </c>
      <c r="E1223" t="s">
        <v>26</v>
      </c>
      <c r="F1223" t="s">
        <v>281</v>
      </c>
      <c r="G1223" t="str">
        <f>HYPERLINK("https://twitter.com/EuroMaydan/status/2027427357884088336")</f>
        <v>https://twitter.com/EuroMaydan/status/2027427357884088336</v>
      </c>
      <c r="H1223" t="s">
        <v>28</v>
      </c>
      <c r="I1223" t="s">
        <v>3331</v>
      </c>
      <c r="J1223" t="s">
        <v>3319</v>
      </c>
      <c r="K1223" t="str">
        <f>HYPERLINK("http://twitter.com/EuroMaydan")</f>
        <v>http://twitter.com/EuroMaydan</v>
      </c>
      <c r="L1223">
        <v>233458</v>
      </c>
      <c r="N1223" t="s">
        <v>278</v>
      </c>
      <c r="R1223" t="s">
        <v>32</v>
      </c>
      <c r="S1223" t="s">
        <v>33</v>
      </c>
      <c r="T1223" t="s">
        <v>34</v>
      </c>
      <c r="U1223" t="s">
        <v>58</v>
      </c>
      <c r="V1223" t="s">
        <v>58</v>
      </c>
    </row>
    <row r="1224" spans="1:22" ht="16">
      <c r="A1224" t="s">
        <v>2300</v>
      </c>
      <c r="B1224" t="s">
        <v>3332</v>
      </c>
      <c r="C1224" t="s">
        <v>80</v>
      </c>
      <c r="D1224" t="s">
        <v>3333</v>
      </c>
      <c r="E1224" t="s">
        <v>74</v>
      </c>
      <c r="F1224" t="s">
        <v>3</v>
      </c>
      <c r="G1224" t="str">
        <f>HYPERLINK("https://www.facebook.com/permalink.php?story_fbid=pfbid02rbt51TUb57HR4F6gBd5FwSTuyaUp3gHvM6gsAExHboTPbUq2FdNvTKt3sBpRB8pml&amp;id=100006975138432&amp;comment_id=26078528701811922")</f>
        <v>https://www.facebook.com/permalink.php?story_fbid=pfbid02rbt51TUb57HR4F6gBd5FwSTuyaUp3gHvM6gsAExHboTPbUq2FdNvTKt3sBpRB8pml&amp;id=100006975138432&amp;comment_id=26078528701811922</v>
      </c>
      <c r="H1224" t="s">
        <v>28</v>
      </c>
      <c r="I1224" t="s">
        <v>3191</v>
      </c>
      <c r="J1224" t="s">
        <v>3192</v>
      </c>
      <c r="K1224" t="str">
        <f>HYPERLINK("https://www.facebook.com/100000876483596")</f>
        <v>https://www.facebook.com/100000876483596</v>
      </c>
      <c r="M1224" t="s">
        <v>40</v>
      </c>
      <c r="N1224" t="s">
        <v>31</v>
      </c>
      <c r="O1224" t="s">
        <v>1399</v>
      </c>
      <c r="P1224" t="str">
        <f>HYPERLINK("https://www.facebook.com/100006975138432")</f>
        <v>https://www.facebook.com/100006975138432</v>
      </c>
      <c r="R1224" t="s">
        <v>32</v>
      </c>
      <c r="S1224" t="s">
        <v>3334</v>
      </c>
      <c r="T1224" t="s">
        <v>34</v>
      </c>
      <c r="U1224" t="s">
        <v>58</v>
      </c>
      <c r="V1224" t="s">
        <v>58</v>
      </c>
    </row>
    <row r="1225" spans="1:19" ht="16">
      <c r="A1225" t="s">
        <v>2300</v>
      </c>
      <c r="B1225" t="s">
        <v>3332</v>
      </c>
      <c r="C1225" t="s">
        <v>24</v>
      </c>
      <c r="D1225" t="s">
        <v>2497</v>
      </c>
      <c r="E1225" t="s">
        <v>26</v>
      </c>
      <c r="F1225" t="s">
        <v>342</v>
      </c>
      <c r="G1225" t="str">
        <f>HYPERLINK("https://telegram.me/euromaydannews/17967")</f>
        <v>https://telegram.me/euromaydannews/17967</v>
      </c>
      <c r="H1225" t="s">
        <v>28</v>
      </c>
      <c r="I1225" t="s">
        <v>3335</v>
      </c>
      <c r="J1225" t="s">
        <v>3336</v>
      </c>
      <c r="K1225" t="str">
        <f>HYPERLINK("https://telegram.me/euromaydannews")</f>
        <v>https://telegram.me/euromaydannews</v>
      </c>
      <c r="L1225">
        <v>7261</v>
      </c>
      <c r="M1225" t="s">
        <v>345</v>
      </c>
      <c r="N1225" t="s">
        <v>346</v>
      </c>
      <c r="O1225" t="s">
        <v>3335</v>
      </c>
      <c r="P1225" t="str">
        <f>HYPERLINK("https://telegram.me/euromaydannews")</f>
        <v>https://telegram.me/euromaydannews</v>
      </c>
      <c r="Q1225">
        <v>7261</v>
      </c>
      <c r="R1225" t="s">
        <v>347</v>
      </c>
      <c r="S1225" t="s">
        <v>33</v>
      </c>
    </row>
    <row r="1226" spans="1:22" ht="16">
      <c r="A1226" t="s">
        <v>2300</v>
      </c>
      <c r="B1226" t="s">
        <v>269</v>
      </c>
      <c r="C1226" t="s">
        <v>80</v>
      </c>
      <c r="D1226" t="s">
        <v>3337</v>
      </c>
      <c r="E1226" t="s">
        <v>74</v>
      </c>
      <c r="F1226" t="s">
        <v>3</v>
      </c>
      <c r="G1226" t="str">
        <f>HYPERLINK("https://www.facebook.com/konstantin.vilenovic/posts/pfbid02xnxu74gfPicGSZ4nWRhXwqJxD7tAPMk26hMYZmakvEEvXFzwuuniXRne4JowGNYSl?comment_id=1546163249807728")</f>
        <v>https://www.facebook.com/konstantin.vilenovic/posts/pfbid02xnxu74gfPicGSZ4nWRhXwqJxD7tAPMk26hMYZmakvEEvXFzwuuniXRne4JowGNYSl?comment_id=1546163249807728</v>
      </c>
      <c r="H1226" t="s">
        <v>28</v>
      </c>
      <c r="I1226" t="s">
        <v>3338</v>
      </c>
      <c r="K1226" t="str">
        <f>HYPERLINK("https://www.facebook.com/100091734710451")</f>
        <v>https://www.facebook.com/100091734710451</v>
      </c>
      <c r="M1226" t="s">
        <v>30</v>
      </c>
      <c r="N1226" t="s">
        <v>31</v>
      </c>
      <c r="O1226" t="s">
        <v>3339</v>
      </c>
      <c r="P1226" t="str">
        <f>HYPERLINK("https://www.facebook.com/100001729704672")</f>
        <v>https://www.facebook.com/100001729704672</v>
      </c>
      <c r="R1226" t="s">
        <v>32</v>
      </c>
      <c r="S1226" t="s">
        <v>33</v>
      </c>
      <c r="T1226" t="s">
        <v>34</v>
      </c>
      <c r="U1226" t="s">
        <v>899</v>
      </c>
      <c r="V1226" t="s">
        <v>900</v>
      </c>
    </row>
    <row r="1227" spans="1:19" ht="16">
      <c r="A1227" t="s">
        <v>2300</v>
      </c>
      <c r="B1227" t="s">
        <v>1238</v>
      </c>
      <c r="C1227" t="s">
        <v>24</v>
      </c>
      <c r="D1227" t="s">
        <v>49</v>
      </c>
      <c r="E1227" t="s">
        <v>74</v>
      </c>
      <c r="F1227" t="s">
        <v>342</v>
      </c>
      <c r="G1227" t="str">
        <f>HYPERLINK("https://telegram.me/steamdeck_ua/1064618")</f>
        <v>https://telegram.me/steamdeck_ua/1064618</v>
      </c>
      <c r="H1227" t="s">
        <v>28</v>
      </c>
      <c r="I1227" t="s">
        <v>3340</v>
      </c>
      <c r="J1227" t="s">
        <v>3341</v>
      </c>
      <c r="K1227" t="str">
        <f>HYPERLINK("https://telegram.me/headsmanc0de")</f>
        <v>https://telegram.me/headsmanc0de</v>
      </c>
      <c r="M1227" t="s">
        <v>40</v>
      </c>
      <c r="N1227" t="s">
        <v>346</v>
      </c>
      <c r="O1227" t="s">
        <v>3324</v>
      </c>
      <c r="P1227" t="str">
        <f>HYPERLINK("https://telegram.me/steamdeck_ua")</f>
        <v>https://telegram.me/steamdeck_ua</v>
      </c>
      <c r="Q1227">
        <v>4393</v>
      </c>
      <c r="R1227" t="s">
        <v>347</v>
      </c>
      <c r="S1227" t="s">
        <v>33</v>
      </c>
    </row>
    <row r="1228" spans="1:19" ht="16">
      <c r="A1228" t="s">
        <v>2300</v>
      </c>
      <c r="B1228" t="s">
        <v>1238</v>
      </c>
      <c r="C1228" t="s">
        <v>24</v>
      </c>
      <c r="D1228" t="s">
        <v>3342</v>
      </c>
      <c r="E1228" t="s">
        <v>26</v>
      </c>
      <c r="F1228" t="s">
        <v>342</v>
      </c>
      <c r="G1228" t="str">
        <f>HYPERLINK("https://telegram.me/antikor/103918")</f>
        <v>https://telegram.me/antikor/103918</v>
      </c>
      <c r="H1228" t="s">
        <v>28</v>
      </c>
      <c r="I1228" t="s">
        <v>3343</v>
      </c>
      <c r="J1228" t="s">
        <v>3344</v>
      </c>
      <c r="K1228" t="str">
        <f>HYPERLINK("https://telegram.me/antikor")</f>
        <v>https://telegram.me/antikor</v>
      </c>
      <c r="L1228">
        <v>318689</v>
      </c>
      <c r="M1228" t="s">
        <v>345</v>
      </c>
      <c r="N1228" t="s">
        <v>346</v>
      </c>
      <c r="O1228" t="s">
        <v>3343</v>
      </c>
      <c r="P1228" t="str">
        <f>HYPERLINK("https://telegram.me/antikor")</f>
        <v>https://telegram.me/antikor</v>
      </c>
      <c r="Q1228">
        <v>318689</v>
      </c>
      <c r="R1228" t="s">
        <v>347</v>
      </c>
      <c r="S1228" t="s">
        <v>33</v>
      </c>
    </row>
    <row r="1229" spans="1:19" ht="16">
      <c r="A1229" t="s">
        <v>2300</v>
      </c>
      <c r="B1229" t="s">
        <v>3345</v>
      </c>
      <c r="C1229" t="s">
        <v>24</v>
      </c>
      <c r="D1229" t="s">
        <v>2502</v>
      </c>
      <c r="E1229" t="s">
        <v>26</v>
      </c>
      <c r="F1229" t="s">
        <v>27</v>
      </c>
      <c r="G1229" t="str">
        <f>HYPERLINK("https://www.facebook.com/1673091387186776")</f>
        <v>https://www.facebook.com/1673091387186776</v>
      </c>
      <c r="H1229" t="s">
        <v>28</v>
      </c>
      <c r="I1229" t="s">
        <v>3346</v>
      </c>
      <c r="K1229" t="str">
        <f>HYPERLINK("https://www.facebook.com/100034577925820")</f>
        <v>https://www.facebook.com/100034577925820</v>
      </c>
      <c r="L1229">
        <v>264</v>
      </c>
      <c r="M1229" t="s">
        <v>40</v>
      </c>
      <c r="N1229" t="s">
        <v>31</v>
      </c>
      <c r="O1229" t="s">
        <v>3346</v>
      </c>
      <c r="P1229" t="str">
        <f>HYPERLINK("https://www.facebook.com/100034577925820")</f>
        <v>https://www.facebook.com/100034577925820</v>
      </c>
      <c r="Q1229">
        <v>264</v>
      </c>
      <c r="R1229" t="s">
        <v>32</v>
      </c>
      <c r="S1229" t="s">
        <v>33</v>
      </c>
    </row>
    <row r="1230" spans="1:19" ht="16">
      <c r="A1230" t="s">
        <v>2300</v>
      </c>
      <c r="B1230" t="s">
        <v>3345</v>
      </c>
      <c r="C1230" t="s">
        <v>24</v>
      </c>
      <c r="D1230" t="s">
        <v>49</v>
      </c>
      <c r="E1230" t="s">
        <v>26</v>
      </c>
      <c r="F1230" t="s">
        <v>342</v>
      </c>
      <c r="G1230" t="str">
        <f>HYPERLINK("https://telegram.me/lachentyt/60049")</f>
        <v>https://telegram.me/lachentyt/60049</v>
      </c>
      <c r="H1230" t="s">
        <v>28</v>
      </c>
      <c r="I1230" t="s">
        <v>3347</v>
      </c>
      <c r="J1230" t="s">
        <v>3348</v>
      </c>
      <c r="K1230" t="str">
        <f>HYPERLINK("https://telegram.me/lachentyt")</f>
        <v>https://telegram.me/lachentyt</v>
      </c>
      <c r="L1230">
        <v>1569240</v>
      </c>
      <c r="M1230" t="s">
        <v>345</v>
      </c>
      <c r="N1230" t="s">
        <v>346</v>
      </c>
      <c r="O1230" t="s">
        <v>3347</v>
      </c>
      <c r="P1230" t="str">
        <f>HYPERLINK("https://telegram.me/lachentyt")</f>
        <v>https://telegram.me/lachentyt</v>
      </c>
      <c r="Q1230">
        <v>1569240</v>
      </c>
      <c r="R1230" t="s">
        <v>347</v>
      </c>
      <c r="S1230" t="s">
        <v>33</v>
      </c>
    </row>
    <row r="1231" spans="1:22" ht="16">
      <c r="A1231" t="s">
        <v>2300</v>
      </c>
      <c r="B1231" t="s">
        <v>271</v>
      </c>
      <c r="C1231" t="s">
        <v>80</v>
      </c>
      <c r="D1231" t="s">
        <v>3349</v>
      </c>
      <c r="E1231" t="s">
        <v>74</v>
      </c>
      <c r="F1231" t="s">
        <v>3</v>
      </c>
      <c r="G1231" t="str">
        <f>HYPERLINK("https://www.facebook.com/permalink.php?story_fbid=pfbid02rbt51TUb57HR4F6gBd5FwSTuyaUp3gHvM6gsAExHboTPbUq2FdNvTKt3sBpRB8pml&amp;id=100006975138432&amp;comment_id=1860979737948386")</f>
        <v>https://www.facebook.com/permalink.php?story_fbid=pfbid02rbt51TUb57HR4F6gBd5FwSTuyaUp3gHvM6gsAExHboTPbUq2FdNvTKt3sBpRB8pml&amp;id=100006975138432&amp;comment_id=1860979737948386</v>
      </c>
      <c r="H1231" t="s">
        <v>28</v>
      </c>
      <c r="I1231" t="s">
        <v>3350</v>
      </c>
      <c r="K1231" t="str">
        <f>HYPERLINK("https://www.facebook.com/100076349355296")</f>
        <v>https://www.facebook.com/100076349355296</v>
      </c>
      <c r="M1231" t="s">
        <v>30</v>
      </c>
      <c r="N1231" t="s">
        <v>31</v>
      </c>
      <c r="O1231" t="s">
        <v>1399</v>
      </c>
      <c r="P1231" t="str">
        <f>HYPERLINK("https://www.facebook.com/100006975138432")</f>
        <v>https://www.facebook.com/100006975138432</v>
      </c>
      <c r="R1231" t="s">
        <v>32</v>
      </c>
      <c r="S1231" t="s">
        <v>33</v>
      </c>
      <c r="T1231" t="s">
        <v>34</v>
      </c>
      <c r="U1231" t="s">
        <v>58</v>
      </c>
      <c r="V1231" t="s">
        <v>58</v>
      </c>
    </row>
    <row r="1232" spans="1:22" ht="16">
      <c r="A1232" t="s">
        <v>2300</v>
      </c>
      <c r="B1232" t="s">
        <v>1251</v>
      </c>
      <c r="C1232" t="s">
        <v>80</v>
      </c>
      <c r="D1232" t="s">
        <v>3351</v>
      </c>
      <c r="E1232" t="s">
        <v>74</v>
      </c>
      <c r="F1232" t="s">
        <v>3</v>
      </c>
      <c r="G1232" t="str">
        <f>HYPERLINK("https://www.facebook.com/permalink.php?story_fbid=pfbid02rbt51TUb57HR4F6gBd5FwSTuyaUp3gHvM6gsAExHboTPbUq2FdNvTKt3sBpRB8pml&amp;id=100006975138432&amp;comment_id=1423946105888939")</f>
        <v>https://www.facebook.com/permalink.php?story_fbid=pfbid02rbt51TUb57HR4F6gBd5FwSTuyaUp3gHvM6gsAExHboTPbUq2FdNvTKt3sBpRB8pml&amp;id=100006975138432&amp;comment_id=1423946105888939</v>
      </c>
      <c r="H1232" t="s">
        <v>28</v>
      </c>
      <c r="I1232" t="s">
        <v>3352</v>
      </c>
      <c r="K1232" t="str">
        <f>HYPERLINK("https://www.facebook.com/61555466109435")</f>
        <v>https://www.facebook.com/61555466109435</v>
      </c>
      <c r="M1232" t="s">
        <v>30</v>
      </c>
      <c r="N1232" t="s">
        <v>31</v>
      </c>
      <c r="O1232" t="s">
        <v>1399</v>
      </c>
      <c r="P1232" t="str">
        <f>HYPERLINK("https://www.facebook.com/100006975138432")</f>
        <v>https://www.facebook.com/100006975138432</v>
      </c>
      <c r="R1232" t="s">
        <v>32</v>
      </c>
      <c r="S1232" t="s">
        <v>85</v>
      </c>
      <c r="T1232" t="s">
        <v>34</v>
      </c>
      <c r="U1232" t="s">
        <v>58</v>
      </c>
      <c r="V1232" t="s">
        <v>58</v>
      </c>
    </row>
    <row r="1233" spans="1:20" ht="16">
      <c r="A1233" t="s">
        <v>2300</v>
      </c>
      <c r="B1233" t="s">
        <v>1261</v>
      </c>
      <c r="C1233" t="s">
        <v>3353</v>
      </c>
      <c r="D1233" t="s">
        <v>3354</v>
      </c>
      <c r="E1233" t="s">
        <v>74</v>
      </c>
      <c r="F1233" t="s">
        <v>3</v>
      </c>
      <c r="G1233" t="str">
        <f>HYPERLINK("https://www.facebook.com/groups/102624763651298/posts/1822828681630889/?comment_id=1822841024962988")</f>
        <v>https://www.facebook.com/groups/102624763651298/posts/1822828681630889/?comment_id=1822841024962988</v>
      </c>
      <c r="H1233" t="s">
        <v>28</v>
      </c>
      <c r="I1233" t="s">
        <v>3355</v>
      </c>
      <c r="K1233" t="str">
        <f>HYPERLINK("https://www.facebook.com/100044962900386")</f>
        <v>https://www.facebook.com/100044962900386</v>
      </c>
      <c r="M1233" t="s">
        <v>40</v>
      </c>
      <c r="N1233" t="s">
        <v>31</v>
      </c>
      <c r="O1233" t="s">
        <v>3356</v>
      </c>
      <c r="P1233" t="str">
        <f>HYPERLINK("https://www.facebook.com/102624763651298")</f>
        <v>https://www.facebook.com/102624763651298</v>
      </c>
      <c r="Q1233">
        <v>15329</v>
      </c>
      <c r="R1233" t="s">
        <v>32</v>
      </c>
      <c r="S1233" t="s">
        <v>57</v>
      </c>
      <c r="T1233" t="s">
        <v>34</v>
      </c>
    </row>
    <row r="1234" spans="1:22" ht="16">
      <c r="A1234" t="s">
        <v>2300</v>
      </c>
      <c r="B1234" t="s">
        <v>3357</v>
      </c>
      <c r="C1234" t="s">
        <v>80</v>
      </c>
      <c r="D1234" t="s">
        <v>3358</v>
      </c>
      <c r="E1234" t="s">
        <v>74</v>
      </c>
      <c r="F1234" t="s">
        <v>3</v>
      </c>
      <c r="G1234" t="str">
        <f>HYPERLINK("https://www.facebook.com/permalink.php?story_fbid=pfbid02rbt51TUb57HR4F6gBd5FwSTuyaUp3gHvM6gsAExHboTPbUq2FdNvTKt3sBpRB8pml&amp;id=100006975138432&amp;comment_id=2133599100793642")</f>
        <v>https://www.facebook.com/permalink.php?story_fbid=pfbid02rbt51TUb57HR4F6gBd5FwSTuyaUp3gHvM6gsAExHboTPbUq2FdNvTKt3sBpRB8pml&amp;id=100006975138432&amp;comment_id=2133599100793642</v>
      </c>
      <c r="H1234" t="s">
        <v>28</v>
      </c>
      <c r="I1234" t="s">
        <v>3359</v>
      </c>
      <c r="J1234" t="s">
        <v>3360</v>
      </c>
      <c r="K1234" t="str">
        <f>HYPERLINK("https://www.facebook.com/100030256381546")</f>
        <v>https://www.facebook.com/100030256381546</v>
      </c>
      <c r="M1234" t="s">
        <v>30</v>
      </c>
      <c r="N1234" t="s">
        <v>31</v>
      </c>
      <c r="O1234" t="s">
        <v>1399</v>
      </c>
      <c r="P1234" t="str">
        <f>HYPERLINK("https://www.facebook.com/100006975138432")</f>
        <v>https://www.facebook.com/100006975138432</v>
      </c>
      <c r="R1234" t="s">
        <v>32</v>
      </c>
      <c r="S1234" t="s">
        <v>85</v>
      </c>
      <c r="T1234" t="s">
        <v>34</v>
      </c>
      <c r="U1234" t="s">
        <v>58</v>
      </c>
      <c r="V1234" t="s">
        <v>58</v>
      </c>
    </row>
    <row r="1235" spans="1:19" ht="16">
      <c r="A1235" t="s">
        <v>2300</v>
      </c>
      <c r="B1235" t="s">
        <v>1267</v>
      </c>
      <c r="C1235" t="s">
        <v>24</v>
      </c>
      <c r="D1235" t="s">
        <v>3149</v>
      </c>
      <c r="E1235" t="s">
        <v>26</v>
      </c>
      <c r="F1235" t="s">
        <v>27</v>
      </c>
      <c r="G1235" t="str">
        <f>HYPERLINK("https://www.facebook.com/911797064880259")</f>
        <v>https://www.facebook.com/911797064880259</v>
      </c>
      <c r="H1235" t="s">
        <v>28</v>
      </c>
      <c r="I1235" t="s">
        <v>3361</v>
      </c>
      <c r="K1235" t="str">
        <f>HYPERLINK("https://www.facebook.com/100081499207670")</f>
        <v>https://www.facebook.com/100081499207670</v>
      </c>
      <c r="M1235" t="s">
        <v>30</v>
      </c>
      <c r="N1235" t="s">
        <v>31</v>
      </c>
      <c r="O1235" t="s">
        <v>3361</v>
      </c>
      <c r="P1235" t="str">
        <f>HYPERLINK("https://www.facebook.com/100081499207670")</f>
        <v>https://www.facebook.com/100081499207670</v>
      </c>
      <c r="R1235" t="s">
        <v>32</v>
      </c>
      <c r="S1235" t="s">
        <v>33</v>
      </c>
    </row>
    <row r="1236" spans="1:22" ht="16">
      <c r="A1236" t="s">
        <v>2300</v>
      </c>
      <c r="B1236" t="s">
        <v>3362</v>
      </c>
      <c r="C1236" t="s">
        <v>80</v>
      </c>
      <c r="D1236" t="s">
        <v>3363</v>
      </c>
      <c r="E1236" t="s">
        <v>74</v>
      </c>
      <c r="F1236" t="s">
        <v>3</v>
      </c>
      <c r="G1236" t="str">
        <f>HYPERLINK("https://www.facebook.com/permalink.php?story_fbid=pfbid02rbt51TUb57HR4F6gBd5FwSTuyaUp3gHvM6gsAExHboTPbUq2FdNvTKt3sBpRB8pml&amp;id=100006975138432&amp;comment_id=978297395372761")</f>
        <v>https://www.facebook.com/permalink.php?story_fbid=pfbid02rbt51TUb57HR4F6gBd5FwSTuyaUp3gHvM6gsAExHboTPbUq2FdNvTKt3sBpRB8pml&amp;id=100006975138432&amp;comment_id=978297395372761</v>
      </c>
      <c r="H1236" t="s">
        <v>28</v>
      </c>
      <c r="I1236" t="s">
        <v>2931</v>
      </c>
      <c r="K1236" t="str">
        <f>HYPERLINK("https://www.facebook.com/100007696026901")</f>
        <v>https://www.facebook.com/100007696026901</v>
      </c>
      <c r="M1236" t="s">
        <v>30</v>
      </c>
      <c r="N1236" t="s">
        <v>31</v>
      </c>
      <c r="O1236" t="s">
        <v>1399</v>
      </c>
      <c r="P1236" t="str">
        <f>HYPERLINK("https://www.facebook.com/100006975138432")</f>
        <v>https://www.facebook.com/100006975138432</v>
      </c>
      <c r="R1236" t="s">
        <v>32</v>
      </c>
      <c r="S1236" t="s">
        <v>33</v>
      </c>
      <c r="T1236" t="s">
        <v>86</v>
      </c>
      <c r="U1236" t="s">
        <v>2231</v>
      </c>
      <c r="V1236" t="s">
        <v>2231</v>
      </c>
    </row>
    <row r="1237" spans="1:22" ht="16">
      <c r="A1237" t="s">
        <v>2300</v>
      </c>
      <c r="B1237" t="s">
        <v>3364</v>
      </c>
      <c r="C1237" t="s">
        <v>80</v>
      </c>
      <c r="D1237" t="s">
        <v>3365</v>
      </c>
      <c r="E1237" t="s">
        <v>74</v>
      </c>
      <c r="F1237" t="s">
        <v>3</v>
      </c>
      <c r="G1237" t="str">
        <f>HYPERLINK("https://www.facebook.com/permalink.php?story_fbid=pfbid02rbt51TUb57HR4F6gBd5FwSTuyaUp3gHvM6gsAExHboTPbUq2FdNvTKt3sBpRB8pml&amp;id=100006975138432&amp;comment_id=1657035578804956")</f>
        <v>https://www.facebook.com/permalink.php?story_fbid=pfbid02rbt51TUb57HR4F6gBd5FwSTuyaUp3gHvM6gsAExHboTPbUq2FdNvTKt3sBpRB8pml&amp;id=100006975138432&amp;comment_id=1657035578804956</v>
      </c>
      <c r="H1237" t="s">
        <v>28</v>
      </c>
      <c r="I1237" t="s">
        <v>3366</v>
      </c>
      <c r="K1237" t="str">
        <f>HYPERLINK("https://www.facebook.com/100018435813544")</f>
        <v>https://www.facebook.com/100018435813544</v>
      </c>
      <c r="M1237" t="s">
        <v>30</v>
      </c>
      <c r="N1237" t="s">
        <v>31</v>
      </c>
      <c r="O1237" t="s">
        <v>1399</v>
      </c>
      <c r="P1237" t="str">
        <f>HYPERLINK("https://www.facebook.com/100006975138432")</f>
        <v>https://www.facebook.com/100006975138432</v>
      </c>
      <c r="R1237" t="s">
        <v>32</v>
      </c>
      <c r="S1237" t="s">
        <v>33</v>
      </c>
      <c r="T1237" t="s">
        <v>34</v>
      </c>
      <c r="U1237" t="s">
        <v>58</v>
      </c>
      <c r="V1237" t="s">
        <v>58</v>
      </c>
    </row>
    <row r="1238" spans="1:21" ht="16">
      <c r="A1238" t="s">
        <v>2300</v>
      </c>
      <c r="B1238" t="s">
        <v>3367</v>
      </c>
      <c r="C1238" t="s">
        <v>24</v>
      </c>
      <c r="D1238" t="s">
        <v>3368</v>
      </c>
      <c r="E1238" t="s">
        <v>26</v>
      </c>
      <c r="F1238" t="s">
        <v>55</v>
      </c>
      <c r="G1238" t="str">
        <f>HYPERLINK("https://www.facebook.com/4363009347306119")</f>
        <v>https://www.facebook.com/4363009347306119</v>
      </c>
      <c r="H1238" t="s">
        <v>28</v>
      </c>
      <c r="I1238" t="s">
        <v>3369</v>
      </c>
      <c r="K1238" t="str">
        <f>HYPERLINK("https://www.facebook.com/100007912905975")</f>
        <v>https://www.facebook.com/100007912905975</v>
      </c>
      <c r="M1238" t="s">
        <v>40</v>
      </c>
      <c r="N1238" t="s">
        <v>31</v>
      </c>
      <c r="O1238" t="s">
        <v>3369</v>
      </c>
      <c r="P1238" t="str">
        <f>HYPERLINK("https://www.facebook.com/100007912905975")</f>
        <v>https://www.facebook.com/100007912905975</v>
      </c>
      <c r="R1238" t="s">
        <v>32</v>
      </c>
      <c r="S1238" t="s">
        <v>33</v>
      </c>
      <c r="T1238" t="s">
        <v>34</v>
      </c>
      <c r="U1238" t="s">
        <v>309</v>
      </c>
    </row>
    <row r="1239" spans="1:22" ht="16">
      <c r="A1239" t="s">
        <v>2300</v>
      </c>
      <c r="B1239" t="s">
        <v>1270</v>
      </c>
      <c r="C1239" t="s">
        <v>80</v>
      </c>
      <c r="D1239" t="s">
        <v>3370</v>
      </c>
      <c r="E1239" t="s">
        <v>74</v>
      </c>
      <c r="F1239" t="s">
        <v>3</v>
      </c>
      <c r="G1239" t="str">
        <f>HYPERLINK("https://www.facebook.com/permalink.php?story_fbid=pfbid02rbt51TUb57HR4F6gBd5FwSTuyaUp3gHvM6gsAExHboTPbUq2FdNvTKt3sBpRB8pml&amp;id=100006975138432&amp;comment_id=696314356824877")</f>
        <v>https://www.facebook.com/permalink.php?story_fbid=pfbid02rbt51TUb57HR4F6gBd5FwSTuyaUp3gHvM6gsAExHboTPbUq2FdNvTKt3sBpRB8pml&amp;id=100006975138432&amp;comment_id=696314356824877</v>
      </c>
      <c r="H1239" t="s">
        <v>28</v>
      </c>
      <c r="I1239" t="s">
        <v>3371</v>
      </c>
      <c r="K1239" t="str">
        <f>HYPERLINK("https://www.facebook.com/100069003295701")</f>
        <v>https://www.facebook.com/100069003295701</v>
      </c>
      <c r="M1239" t="s">
        <v>40</v>
      </c>
      <c r="N1239" t="s">
        <v>31</v>
      </c>
      <c r="O1239" t="s">
        <v>1399</v>
      </c>
      <c r="P1239" t="str">
        <f>HYPERLINK("https://www.facebook.com/100006975138432")</f>
        <v>https://www.facebook.com/100006975138432</v>
      </c>
      <c r="R1239" t="s">
        <v>32</v>
      </c>
      <c r="S1239" t="s">
        <v>3372</v>
      </c>
      <c r="T1239" t="s">
        <v>34</v>
      </c>
      <c r="U1239" t="s">
        <v>58</v>
      </c>
      <c r="V1239" t="s">
        <v>58</v>
      </c>
    </row>
    <row r="1240" spans="1:22" ht="16">
      <c r="A1240" t="s">
        <v>2300</v>
      </c>
      <c r="B1240" t="s">
        <v>3373</v>
      </c>
      <c r="C1240" t="s">
        <v>80</v>
      </c>
      <c r="D1240" t="s">
        <v>3374</v>
      </c>
      <c r="E1240" t="s">
        <v>74</v>
      </c>
      <c r="F1240" t="s">
        <v>3</v>
      </c>
      <c r="G1240" t="str">
        <f>HYPERLINK("https://www.facebook.com/permalink.php?story_fbid=pfbid02rbt51TUb57HR4F6gBd5FwSTuyaUp3gHvM6gsAExHboTPbUq2FdNvTKt3sBpRB8pml&amp;id=100006975138432&amp;comment_id=1451497096380032")</f>
        <v>https://www.facebook.com/permalink.php?story_fbid=pfbid02rbt51TUb57HR4F6gBd5FwSTuyaUp3gHvM6gsAExHboTPbUq2FdNvTKt3sBpRB8pml&amp;id=100006975138432&amp;comment_id=1451497096380032</v>
      </c>
      <c r="H1240" t="s">
        <v>28</v>
      </c>
      <c r="I1240" t="s">
        <v>3375</v>
      </c>
      <c r="K1240" t="str">
        <f>HYPERLINK("https://www.facebook.com/100023500069384")</f>
        <v>https://www.facebook.com/100023500069384</v>
      </c>
      <c r="M1240" t="s">
        <v>40</v>
      </c>
      <c r="N1240" t="s">
        <v>31</v>
      </c>
      <c r="O1240" t="s">
        <v>1399</v>
      </c>
      <c r="P1240" t="str">
        <f>HYPERLINK("https://www.facebook.com/100006975138432")</f>
        <v>https://www.facebook.com/100006975138432</v>
      </c>
      <c r="R1240" t="s">
        <v>32</v>
      </c>
      <c r="S1240" t="s">
        <v>85</v>
      </c>
      <c r="T1240" t="s">
        <v>34</v>
      </c>
      <c r="U1240" t="s">
        <v>58</v>
      </c>
      <c r="V1240" t="s">
        <v>58</v>
      </c>
    </row>
    <row r="1241" spans="1:22" ht="16">
      <c r="A1241" t="s">
        <v>2300</v>
      </c>
      <c r="B1241" t="s">
        <v>3376</v>
      </c>
      <c r="C1241" t="s">
        <v>24</v>
      </c>
      <c r="D1241" t="s">
        <v>3377</v>
      </c>
      <c r="E1241" t="s">
        <v>101</v>
      </c>
      <c r="F1241" t="s">
        <v>46</v>
      </c>
      <c r="G1241" t="str">
        <f>HYPERLINK("https://www.facebook.com/1822828681630889")</f>
        <v>https://www.facebook.com/1822828681630889</v>
      </c>
      <c r="H1241" t="s">
        <v>28</v>
      </c>
      <c r="I1241" t="s">
        <v>3378</v>
      </c>
      <c r="K1241" t="str">
        <f>HYPERLINK("https://www.facebook.com/100003781001955")</f>
        <v>https://www.facebook.com/100003781001955</v>
      </c>
      <c r="M1241" t="s">
        <v>40</v>
      </c>
      <c r="N1241" t="s">
        <v>31</v>
      </c>
      <c r="O1241" t="s">
        <v>3356</v>
      </c>
      <c r="P1241" t="str">
        <f>HYPERLINK("https://www.facebook.com/102624763651298")</f>
        <v>https://www.facebook.com/102624763651298</v>
      </c>
      <c r="Q1241">
        <v>15329</v>
      </c>
      <c r="R1241" t="s">
        <v>32</v>
      </c>
      <c r="S1241" t="s">
        <v>33</v>
      </c>
      <c r="T1241" t="s">
        <v>34</v>
      </c>
      <c r="U1241" t="s">
        <v>408</v>
      </c>
      <c r="V1241" t="s">
        <v>474</v>
      </c>
    </row>
    <row r="1242" spans="1:22" ht="16">
      <c r="A1242" t="s">
        <v>2300</v>
      </c>
      <c r="B1242" t="s">
        <v>3379</v>
      </c>
      <c r="C1242" t="s">
        <v>80</v>
      </c>
      <c r="D1242" t="s">
        <v>24</v>
      </c>
      <c r="E1242" t="s">
        <v>74</v>
      </c>
      <c r="F1242" t="s">
        <v>185</v>
      </c>
      <c r="G1242" t="str">
        <f>HYPERLINK("https://www.facebook.com/permalink.php?story_fbid=pfbid02rbt51TUb57HR4F6gBd5FwSTuyaUp3gHvM6gsAExHboTPbUq2FdNvTKt3sBpRB8pml&amp;id=100006975138432&amp;comment_id=932120002607965")</f>
        <v>https://www.facebook.com/permalink.php?story_fbid=pfbid02rbt51TUb57HR4F6gBd5FwSTuyaUp3gHvM6gsAExHboTPbUq2FdNvTKt3sBpRB8pml&amp;id=100006975138432&amp;comment_id=932120002607965</v>
      </c>
      <c r="H1242" t="s">
        <v>28</v>
      </c>
      <c r="I1242" t="s">
        <v>3380</v>
      </c>
      <c r="K1242" t="str">
        <f>HYPERLINK("https://www.facebook.com/100024284281527")</f>
        <v>https://www.facebook.com/100024284281527</v>
      </c>
      <c r="M1242" t="s">
        <v>30</v>
      </c>
      <c r="N1242" t="s">
        <v>31</v>
      </c>
      <c r="O1242" t="s">
        <v>1399</v>
      </c>
      <c r="P1242" t="str">
        <f>HYPERLINK("https://www.facebook.com/100006975138432")</f>
        <v>https://www.facebook.com/100006975138432</v>
      </c>
      <c r="R1242" t="s">
        <v>32</v>
      </c>
      <c r="S1242" t="s">
        <v>188</v>
      </c>
      <c r="T1242" t="s">
        <v>34</v>
      </c>
      <c r="U1242" t="s">
        <v>58</v>
      </c>
      <c r="V1242" t="s">
        <v>58</v>
      </c>
    </row>
    <row r="1243" spans="1:22" ht="16">
      <c r="A1243" t="s">
        <v>2300</v>
      </c>
      <c r="B1243" t="s">
        <v>3379</v>
      </c>
      <c r="C1243" t="s">
        <v>80</v>
      </c>
      <c r="D1243" t="s">
        <v>24</v>
      </c>
      <c r="E1243" t="s">
        <v>74</v>
      </c>
      <c r="F1243" t="s">
        <v>185</v>
      </c>
      <c r="G1243" t="str">
        <f>HYPERLINK("https://www.facebook.com/permalink.php?story_fbid=pfbid02rbt51TUb57HR4F6gBd5FwSTuyaUp3gHvM6gsAExHboTPbUq2FdNvTKt3sBpRB8pml&amp;id=100006975138432&amp;comment_id=778960828603598")</f>
        <v>https://www.facebook.com/permalink.php?story_fbid=pfbid02rbt51TUb57HR4F6gBd5FwSTuyaUp3gHvM6gsAExHboTPbUq2FdNvTKt3sBpRB8pml&amp;id=100006975138432&amp;comment_id=778960828603598</v>
      </c>
      <c r="H1243" t="s">
        <v>28</v>
      </c>
      <c r="I1243" t="s">
        <v>3380</v>
      </c>
      <c r="K1243" t="str">
        <f>HYPERLINK("https://www.facebook.com/100024284281527")</f>
        <v>https://www.facebook.com/100024284281527</v>
      </c>
      <c r="M1243" t="s">
        <v>30</v>
      </c>
      <c r="N1243" t="s">
        <v>31</v>
      </c>
      <c r="O1243" t="s">
        <v>1399</v>
      </c>
      <c r="P1243" t="str">
        <f>HYPERLINK("https://www.facebook.com/100006975138432")</f>
        <v>https://www.facebook.com/100006975138432</v>
      </c>
      <c r="R1243" t="s">
        <v>32</v>
      </c>
      <c r="S1243" t="s">
        <v>188</v>
      </c>
      <c r="T1243" t="s">
        <v>34</v>
      </c>
      <c r="U1243" t="s">
        <v>58</v>
      </c>
      <c r="V1243" t="s">
        <v>58</v>
      </c>
    </row>
    <row r="1244" spans="1:22" ht="16">
      <c r="A1244" t="s">
        <v>2300</v>
      </c>
      <c r="B1244" t="s">
        <v>3381</v>
      </c>
      <c r="C1244" t="s">
        <v>24</v>
      </c>
      <c r="D1244" t="s">
        <v>44</v>
      </c>
      <c r="E1244" t="s">
        <v>45</v>
      </c>
      <c r="F1244" t="s">
        <v>46</v>
      </c>
      <c r="G1244" t="str">
        <f>HYPERLINK("https://www.facebook.com/910648121828968")</f>
        <v>https://www.facebook.com/910648121828968</v>
      </c>
      <c r="H1244" t="s">
        <v>28</v>
      </c>
      <c r="I1244" t="s">
        <v>3382</v>
      </c>
      <c r="K1244" t="str">
        <f>HYPERLINK("https://www.facebook.com/100086513650514")</f>
        <v>https://www.facebook.com/100086513650514</v>
      </c>
      <c r="M1244" t="s">
        <v>30</v>
      </c>
      <c r="N1244" t="s">
        <v>31</v>
      </c>
      <c r="O1244" t="s">
        <v>3382</v>
      </c>
      <c r="P1244" t="str">
        <f>HYPERLINK("https://www.facebook.com/100086513650514")</f>
        <v>https://www.facebook.com/100086513650514</v>
      </c>
      <c r="R1244" t="s">
        <v>32</v>
      </c>
      <c r="S1244" t="s">
        <v>33</v>
      </c>
      <c r="T1244" t="s">
        <v>34</v>
      </c>
      <c r="U1244" t="s">
        <v>2155</v>
      </c>
      <c r="V1244" t="s">
        <v>2862</v>
      </c>
    </row>
    <row r="1245" spans="1:19" ht="16">
      <c r="A1245" t="s">
        <v>2300</v>
      </c>
      <c r="B1245" t="s">
        <v>1278</v>
      </c>
      <c r="C1245" t="s">
        <v>24</v>
      </c>
      <c r="D1245" t="s">
        <v>44</v>
      </c>
      <c r="E1245" t="s">
        <v>45</v>
      </c>
      <c r="F1245" t="s">
        <v>46</v>
      </c>
      <c r="G1245" t="str">
        <f>HYPERLINK("https://www.facebook.com/2402285476851479")</f>
        <v>https://www.facebook.com/2402285476851479</v>
      </c>
      <c r="H1245" t="s">
        <v>28</v>
      </c>
      <c r="I1245" t="s">
        <v>3383</v>
      </c>
      <c r="K1245" t="str">
        <f>HYPERLINK("https://www.facebook.com/100012101503233")</f>
        <v>https://www.facebook.com/100012101503233</v>
      </c>
      <c r="M1245" t="s">
        <v>40</v>
      </c>
      <c r="N1245" t="s">
        <v>31</v>
      </c>
      <c r="O1245" t="s">
        <v>3383</v>
      </c>
      <c r="P1245" t="str">
        <f>HYPERLINK("https://www.facebook.com/100012101503233")</f>
        <v>https://www.facebook.com/100012101503233</v>
      </c>
      <c r="R1245" t="s">
        <v>32</v>
      </c>
      <c r="S1245" t="s">
        <v>33</v>
      </c>
    </row>
    <row r="1246" spans="1:22" ht="16">
      <c r="A1246" t="s">
        <v>2300</v>
      </c>
      <c r="B1246" t="s">
        <v>285</v>
      </c>
      <c r="C1246" t="s">
        <v>80</v>
      </c>
      <c r="D1246" t="s">
        <v>3384</v>
      </c>
      <c r="E1246" t="s">
        <v>74</v>
      </c>
      <c r="F1246" t="s">
        <v>3</v>
      </c>
      <c r="G1246" t="str">
        <f>HYPERLINK("https://www.facebook.com/permalink.php?story_fbid=pfbid02rbt51TUb57HR4F6gBd5FwSTuyaUp3gHvM6gsAExHboTPbUq2FdNvTKt3sBpRB8pml&amp;id=100006975138432&amp;comment_id=1487123786368950&amp;reply_comment_id=1427913245701889")</f>
        <v>https://www.facebook.com/permalink.php?story_fbid=pfbid02rbt51TUb57HR4F6gBd5FwSTuyaUp3gHvM6gsAExHboTPbUq2FdNvTKt3sBpRB8pml&amp;id=100006975138432&amp;comment_id=1487123786368950&amp;reply_comment_id=1427913245701889</v>
      </c>
      <c r="H1246" t="s">
        <v>28</v>
      </c>
      <c r="I1246" t="s">
        <v>3385</v>
      </c>
      <c r="J1246" t="s">
        <v>3386</v>
      </c>
      <c r="K1246" t="str">
        <f>HYPERLINK("https://www.facebook.com/100008332306474")</f>
        <v>https://www.facebook.com/100008332306474</v>
      </c>
      <c r="M1246" t="s">
        <v>40</v>
      </c>
      <c r="N1246" t="s">
        <v>31</v>
      </c>
      <c r="O1246" t="s">
        <v>1399</v>
      </c>
      <c r="P1246" t="str">
        <f>HYPERLINK("https://www.facebook.com/100006975138432")</f>
        <v>https://www.facebook.com/100006975138432</v>
      </c>
      <c r="R1246" t="s">
        <v>32</v>
      </c>
      <c r="S1246" t="s">
        <v>33</v>
      </c>
      <c r="T1246" t="s">
        <v>34</v>
      </c>
      <c r="U1246" t="s">
        <v>598</v>
      </c>
      <c r="V1246" t="s">
        <v>599</v>
      </c>
    </row>
    <row r="1247" spans="1:22" ht="16">
      <c r="A1247" t="s">
        <v>2300</v>
      </c>
      <c r="B1247" t="s">
        <v>3387</v>
      </c>
      <c r="C1247" t="s">
        <v>80</v>
      </c>
      <c r="D1247" t="s">
        <v>3388</v>
      </c>
      <c r="E1247" t="s">
        <v>74</v>
      </c>
      <c r="F1247" t="s">
        <v>3</v>
      </c>
      <c r="G1247" t="str">
        <f>HYPERLINK("https://www.facebook.com/konstantin.vilenovic/posts/pfbid02xnxu74gfPicGSZ4nWRhXwqJxD7tAPMk26hMYZmakvEEvXFzwuuniXRne4JowGNYSl?comment_id=26223659197263992")</f>
        <v>https://www.facebook.com/konstantin.vilenovic/posts/pfbid02xnxu74gfPicGSZ4nWRhXwqJxD7tAPMk26hMYZmakvEEvXFzwuuniXRne4JowGNYSl?comment_id=26223659197263992</v>
      </c>
      <c r="H1247" t="s">
        <v>28</v>
      </c>
      <c r="I1247" t="s">
        <v>3389</v>
      </c>
      <c r="J1247" t="s">
        <v>3390</v>
      </c>
      <c r="K1247" t="str">
        <f>HYPERLINK("https://www.facebook.com/pfbid02rVmP1LrJvc4nCvzBLgaCVeaKbEKLGdLUpi5pStEz47WSwKtbCoTHjzjTdTnjmhqKl")</f>
        <v>https://www.facebook.com/pfbid02rVmP1LrJvc4nCvzBLgaCVeaKbEKLGdLUpi5pStEz47WSwKtbCoTHjzjTdTnjmhqKl</v>
      </c>
      <c r="M1247" t="s">
        <v>40</v>
      </c>
      <c r="N1247" t="s">
        <v>31</v>
      </c>
      <c r="O1247" t="s">
        <v>3339</v>
      </c>
      <c r="P1247" t="str">
        <f>HYPERLINK("https://www.facebook.com/100001729704672")</f>
        <v>https://www.facebook.com/100001729704672</v>
      </c>
      <c r="R1247" t="s">
        <v>32</v>
      </c>
      <c r="S1247" t="s">
        <v>33</v>
      </c>
      <c r="T1247" t="s">
        <v>34</v>
      </c>
      <c r="U1247" t="s">
        <v>41</v>
      </c>
      <c r="V1247" t="s">
        <v>42</v>
      </c>
    </row>
    <row r="1248" spans="1:22" ht="16">
      <c r="A1248" t="s">
        <v>2300</v>
      </c>
      <c r="B1248" t="s">
        <v>3391</v>
      </c>
      <c r="C1248" t="s">
        <v>72</v>
      </c>
      <c r="D1248" t="s">
        <v>3392</v>
      </c>
      <c r="E1248" t="s">
        <v>74</v>
      </c>
      <c r="F1248" t="s">
        <v>3</v>
      </c>
      <c r="G1248" t="str">
        <f>HYPERLINK("https://www.facebook.com/antonov.vs/posts/pfbid0WoDA925DuzoodzbS7V28bt4ds9TmfsHEXjvxieTXWzQ3cuc53piJ6r5PvYjhKEdjl?comment_id=766052969533801")</f>
        <v>https://www.facebook.com/antonov.vs/posts/pfbid0WoDA925DuzoodzbS7V28bt4ds9TmfsHEXjvxieTXWzQ3cuc53piJ6r5PvYjhKEdjl?comment_id=766052969533801</v>
      </c>
      <c r="H1248" t="s">
        <v>28</v>
      </c>
      <c r="I1248" t="s">
        <v>3393</v>
      </c>
      <c r="K1248" t="str">
        <f>HYPERLINK("https://www.facebook.com/100071281596906")</f>
        <v>https://www.facebook.com/100071281596906</v>
      </c>
      <c r="M1248" t="s">
        <v>30</v>
      </c>
      <c r="N1248" t="s">
        <v>31</v>
      </c>
      <c r="O1248" t="s">
        <v>1127</v>
      </c>
      <c r="P1248" t="str">
        <f>HYPERLINK("https://www.facebook.com/100002292546539")</f>
        <v>https://www.facebook.com/100002292546539</v>
      </c>
      <c r="Q1248">
        <v>485</v>
      </c>
      <c r="R1248" t="s">
        <v>32</v>
      </c>
      <c r="S1248" t="s">
        <v>33</v>
      </c>
      <c r="T1248" t="s">
        <v>34</v>
      </c>
      <c r="U1248" t="s">
        <v>1308</v>
      </c>
      <c r="V1248" t="s">
        <v>1309</v>
      </c>
    </row>
    <row r="1249" spans="1:22" ht="16">
      <c r="A1249" t="s">
        <v>2300</v>
      </c>
      <c r="B1249" t="s">
        <v>1281</v>
      </c>
      <c r="C1249" t="s">
        <v>24</v>
      </c>
      <c r="D1249" t="s">
        <v>3394</v>
      </c>
      <c r="E1249" t="s">
        <v>101</v>
      </c>
      <c r="F1249" t="s">
        <v>46</v>
      </c>
      <c r="G1249" t="str">
        <f>HYPERLINK("https://www.facebook.com/25305194565820756")</f>
        <v>https://www.facebook.com/25305194565820756</v>
      </c>
      <c r="H1249" t="s">
        <v>28</v>
      </c>
      <c r="I1249" t="s">
        <v>3395</v>
      </c>
      <c r="J1249" t="s">
        <v>3396</v>
      </c>
      <c r="K1249" t="str">
        <f>HYPERLINK("https://www.facebook.com/100002706816748")</f>
        <v>https://www.facebook.com/100002706816748</v>
      </c>
      <c r="M1249" t="s">
        <v>40</v>
      </c>
      <c r="N1249" t="s">
        <v>31</v>
      </c>
      <c r="O1249" t="s">
        <v>3395</v>
      </c>
      <c r="P1249" t="str">
        <f>HYPERLINK("https://www.facebook.com/100002706816748")</f>
        <v>https://www.facebook.com/100002706816748</v>
      </c>
      <c r="R1249" t="s">
        <v>32</v>
      </c>
      <c r="S1249" t="s">
        <v>33</v>
      </c>
      <c r="T1249" t="s">
        <v>34</v>
      </c>
      <c r="U1249" t="s">
        <v>478</v>
      </c>
      <c r="V1249" t="s">
        <v>479</v>
      </c>
    </row>
    <row r="1250" spans="1:22" ht="16">
      <c r="A1250" t="s">
        <v>2300</v>
      </c>
      <c r="B1250" t="s">
        <v>1281</v>
      </c>
      <c r="C1250" t="s">
        <v>80</v>
      </c>
      <c r="D1250" t="s">
        <v>3397</v>
      </c>
      <c r="E1250" t="s">
        <v>74</v>
      </c>
      <c r="F1250" t="s">
        <v>3</v>
      </c>
      <c r="G1250" t="str">
        <f>HYPERLINK("https://www.facebook.com/Yullita74/posts/pfbid02BZjihkK27iqC5RwM64mnjUDovVzxkgDhp5G4AQtRSsVRU4RyvTBpKYigtyDmfmQsl?comment_id=912021978111865")</f>
        <v>https://www.facebook.com/Yullita74/posts/pfbid02BZjihkK27iqC5RwM64mnjUDovVzxkgDhp5G4AQtRSsVRU4RyvTBpKYigtyDmfmQsl?comment_id=912021978111865</v>
      </c>
      <c r="H1250" t="s">
        <v>28</v>
      </c>
      <c r="I1250" t="s">
        <v>3398</v>
      </c>
      <c r="J1250" t="s">
        <v>3399</v>
      </c>
      <c r="K1250" t="str">
        <f>HYPERLINK("https://www.facebook.com/100002776920529")</f>
        <v>https://www.facebook.com/100002776920529</v>
      </c>
      <c r="M1250" t="s">
        <v>30</v>
      </c>
      <c r="N1250" t="s">
        <v>31</v>
      </c>
      <c r="O1250" t="s">
        <v>2426</v>
      </c>
      <c r="P1250" t="str">
        <f>HYPERLINK("https://www.facebook.com/100001450230363")</f>
        <v>https://www.facebook.com/100001450230363</v>
      </c>
      <c r="R1250" t="s">
        <v>32</v>
      </c>
      <c r="S1250" t="s">
        <v>33</v>
      </c>
      <c r="T1250" t="s">
        <v>34</v>
      </c>
      <c r="U1250" t="s">
        <v>235</v>
      </c>
      <c r="V1250" t="s">
        <v>236</v>
      </c>
    </row>
    <row r="1251" spans="1:19" ht="16">
      <c r="A1251" t="s">
        <v>2300</v>
      </c>
      <c r="B1251" t="s">
        <v>3400</v>
      </c>
      <c r="C1251" t="s">
        <v>24</v>
      </c>
      <c r="D1251" t="s">
        <v>2251</v>
      </c>
      <c r="E1251" t="s">
        <v>45</v>
      </c>
      <c r="F1251" t="s">
        <v>1977</v>
      </c>
      <c r="G1251" t="str">
        <f>HYPERLINK("https://www.threads.net/@kondralllll/post/DVREk_ljB2b")</f>
        <v>https://www.threads.net/@kondralllll/post/DVREk_ljB2b</v>
      </c>
      <c r="H1251" t="s">
        <v>28</v>
      </c>
      <c r="I1251" t="s">
        <v>3401</v>
      </c>
      <c r="J1251" t="s">
        <v>3402</v>
      </c>
      <c r="K1251" t="str">
        <f>HYPERLINK("https://www.threads.net/@kondralllll")</f>
        <v>https://www.threads.net/@kondralllll</v>
      </c>
      <c r="N1251" t="s">
        <v>1980</v>
      </c>
      <c r="R1251" t="s">
        <v>32</v>
      </c>
      <c r="S1251" t="s">
        <v>33</v>
      </c>
    </row>
    <row r="1252" spans="1:22" ht="16">
      <c r="A1252" t="s">
        <v>2300</v>
      </c>
      <c r="B1252" t="s">
        <v>3403</v>
      </c>
      <c r="C1252" t="s">
        <v>24</v>
      </c>
      <c r="D1252" t="s">
        <v>44</v>
      </c>
      <c r="E1252" t="s">
        <v>101</v>
      </c>
      <c r="F1252" t="s">
        <v>46</v>
      </c>
      <c r="G1252" t="str">
        <f>HYPERLINK("https://www.facebook.com/26459845903647058")</f>
        <v>https://www.facebook.com/26459845903647058</v>
      </c>
      <c r="H1252" t="s">
        <v>28</v>
      </c>
      <c r="I1252" t="s">
        <v>2426</v>
      </c>
      <c r="J1252" t="s">
        <v>2513</v>
      </c>
      <c r="K1252" t="str">
        <f>HYPERLINK("https://www.facebook.com/100001450230363")</f>
        <v>https://www.facebook.com/100001450230363</v>
      </c>
      <c r="M1252" t="s">
        <v>30</v>
      </c>
      <c r="N1252" t="s">
        <v>31</v>
      </c>
      <c r="O1252" t="s">
        <v>2426</v>
      </c>
      <c r="P1252" t="str">
        <f>HYPERLINK("https://www.facebook.com/100001450230363")</f>
        <v>https://www.facebook.com/100001450230363</v>
      </c>
      <c r="R1252" t="s">
        <v>32</v>
      </c>
      <c r="S1252" t="s">
        <v>33</v>
      </c>
      <c r="T1252" t="s">
        <v>34</v>
      </c>
      <c r="U1252" t="s">
        <v>58</v>
      </c>
      <c r="V1252" t="s">
        <v>58</v>
      </c>
    </row>
    <row r="1253" spans="1:22" ht="16">
      <c r="A1253" t="s">
        <v>2300</v>
      </c>
      <c r="B1253" t="s">
        <v>329</v>
      </c>
      <c r="C1253" t="s">
        <v>80</v>
      </c>
      <c r="D1253" t="s">
        <v>3404</v>
      </c>
      <c r="E1253" t="s">
        <v>74</v>
      </c>
      <c r="F1253" t="s">
        <v>3</v>
      </c>
      <c r="G1253" t="str">
        <f>HYPERLINK("https://www.facebook.com/permalink.php?story_fbid=pfbid02rbt51TUb57HR4F6gBd5FwSTuyaUp3gHvM6gsAExHboTPbUq2FdNvTKt3sBpRB8pml&amp;id=100006975138432&amp;comment_id=886803970649589")</f>
        <v>https://www.facebook.com/permalink.php?story_fbid=pfbid02rbt51TUb57HR4F6gBd5FwSTuyaUp3gHvM6gsAExHboTPbUq2FdNvTKt3sBpRB8pml&amp;id=100006975138432&amp;comment_id=886803970649589</v>
      </c>
      <c r="H1253" t="s">
        <v>28</v>
      </c>
      <c r="I1253" t="s">
        <v>2511</v>
      </c>
      <c r="K1253" t="str">
        <f>HYPERLINK("https://www.facebook.com/100009065598671")</f>
        <v>https://www.facebook.com/100009065598671</v>
      </c>
      <c r="M1253" t="s">
        <v>40</v>
      </c>
      <c r="N1253" t="s">
        <v>31</v>
      </c>
      <c r="O1253" t="s">
        <v>1399</v>
      </c>
      <c r="P1253" t="str">
        <f>HYPERLINK("https://www.facebook.com/100006975138432")</f>
        <v>https://www.facebook.com/100006975138432</v>
      </c>
      <c r="R1253" t="s">
        <v>32</v>
      </c>
      <c r="S1253" t="s">
        <v>33</v>
      </c>
      <c r="T1253" t="s">
        <v>34</v>
      </c>
      <c r="U1253" t="s">
        <v>58</v>
      </c>
      <c r="V1253" t="s">
        <v>58</v>
      </c>
    </row>
    <row r="1254" spans="1:22" ht="16">
      <c r="A1254" t="s">
        <v>2300</v>
      </c>
      <c r="B1254" t="s">
        <v>332</v>
      </c>
      <c r="C1254" t="s">
        <v>72</v>
      </c>
      <c r="D1254" t="s">
        <v>3405</v>
      </c>
      <c r="E1254" t="s">
        <v>74</v>
      </c>
      <c r="F1254" t="s">
        <v>3</v>
      </c>
      <c r="G1254" t="str">
        <f>HYPERLINK("https://www.facebook.com/antonov.vs/posts/pfbid0WoDA925DuzoodzbS7V28bt4ds9TmfsHEXjvxieTXWzQ3cuc53piJ6r5PvYjhKEdjl?comment_id=851446184588170")</f>
        <v>https://www.facebook.com/antonov.vs/posts/pfbid0WoDA925DuzoodzbS7V28bt4ds9TmfsHEXjvxieTXWzQ3cuc53piJ6r5PvYjhKEdjl?comment_id=851446184588170</v>
      </c>
      <c r="H1254" t="s">
        <v>28</v>
      </c>
      <c r="I1254" t="s">
        <v>3406</v>
      </c>
      <c r="J1254" t="s">
        <v>3407</v>
      </c>
      <c r="K1254" t="str">
        <f>HYPERLINK("https://www.facebook.com/100007479181488")</f>
        <v>https://www.facebook.com/100007479181488</v>
      </c>
      <c r="M1254" t="s">
        <v>30</v>
      </c>
      <c r="N1254" t="s">
        <v>31</v>
      </c>
      <c r="O1254" t="s">
        <v>1127</v>
      </c>
      <c r="P1254" t="str">
        <f>HYPERLINK("https://www.facebook.com/100002292546539")</f>
        <v>https://www.facebook.com/100002292546539</v>
      </c>
      <c r="Q1254">
        <v>485</v>
      </c>
      <c r="R1254" t="s">
        <v>32</v>
      </c>
      <c r="S1254" t="s">
        <v>33</v>
      </c>
      <c r="T1254" t="s">
        <v>34</v>
      </c>
      <c r="U1254" t="s">
        <v>1308</v>
      </c>
      <c r="V1254" t="s">
        <v>1309</v>
      </c>
    </row>
    <row r="1255" spans="1:22" ht="16">
      <c r="A1255" t="s">
        <v>2300</v>
      </c>
      <c r="B1255" t="s">
        <v>1313</v>
      </c>
      <c r="C1255" t="s">
        <v>80</v>
      </c>
      <c r="D1255" t="s">
        <v>3408</v>
      </c>
      <c r="E1255" t="s">
        <v>74</v>
      </c>
      <c r="F1255" t="s">
        <v>3</v>
      </c>
      <c r="G1255" t="str">
        <f>HYPERLINK("https://www.facebook.com/permalink.php?story_fbid=pfbid02rbt51TUb57HR4F6gBd5FwSTuyaUp3gHvM6gsAExHboTPbUq2FdNvTKt3sBpRB8pml&amp;id=100006975138432&amp;comment_id=1230665958678251")</f>
        <v>https://www.facebook.com/permalink.php?story_fbid=pfbid02rbt51TUb57HR4F6gBd5FwSTuyaUp3gHvM6gsAExHboTPbUq2FdNvTKt3sBpRB8pml&amp;id=100006975138432&amp;comment_id=1230665958678251</v>
      </c>
      <c r="H1255" t="s">
        <v>28</v>
      </c>
      <c r="I1255" t="s">
        <v>3409</v>
      </c>
      <c r="J1255" t="s">
        <v>3410</v>
      </c>
      <c r="K1255" t="str">
        <f>HYPERLINK("https://www.facebook.com/100000176905112")</f>
        <v>https://www.facebook.com/100000176905112</v>
      </c>
      <c r="M1255" t="s">
        <v>40</v>
      </c>
      <c r="N1255" t="s">
        <v>31</v>
      </c>
      <c r="O1255" t="s">
        <v>1399</v>
      </c>
      <c r="P1255" t="str">
        <f>HYPERLINK("https://www.facebook.com/100006975138432")</f>
        <v>https://www.facebook.com/100006975138432</v>
      </c>
      <c r="R1255" t="s">
        <v>32</v>
      </c>
      <c r="S1255" t="s">
        <v>57</v>
      </c>
      <c r="T1255" t="s">
        <v>34</v>
      </c>
      <c r="U1255" t="s">
        <v>58</v>
      </c>
      <c r="V1255" t="s">
        <v>58</v>
      </c>
    </row>
    <row r="1256" spans="1:22" ht="16">
      <c r="A1256" t="s">
        <v>2300</v>
      </c>
      <c r="B1256" t="s">
        <v>1313</v>
      </c>
      <c r="C1256" t="s">
        <v>80</v>
      </c>
      <c r="D1256" t="s">
        <v>3411</v>
      </c>
      <c r="E1256" t="s">
        <v>74</v>
      </c>
      <c r="F1256" t="s">
        <v>3</v>
      </c>
      <c r="G1256" t="str">
        <f>HYPERLINK("https://www.facebook.com/permalink.php?story_fbid=pfbid02rbt51TUb57HR4F6gBd5FwSTuyaUp3gHvM6gsAExHboTPbUq2FdNvTKt3sBpRB8pml&amp;id=100006975138432&amp;comment_id=4317287291847513")</f>
        <v>https://www.facebook.com/permalink.php?story_fbid=pfbid02rbt51TUb57HR4F6gBd5FwSTuyaUp3gHvM6gsAExHboTPbUq2FdNvTKt3sBpRB8pml&amp;id=100006975138432&amp;comment_id=4317287291847513</v>
      </c>
      <c r="H1256" t="s">
        <v>28</v>
      </c>
      <c r="I1256" t="s">
        <v>3412</v>
      </c>
      <c r="J1256" t="s">
        <v>3413</v>
      </c>
      <c r="K1256" t="str">
        <f>HYPERLINK("https://www.facebook.com/100001288589145")</f>
        <v>https://www.facebook.com/100001288589145</v>
      </c>
      <c r="M1256" t="s">
        <v>40</v>
      </c>
      <c r="N1256" t="s">
        <v>31</v>
      </c>
      <c r="O1256" t="s">
        <v>1399</v>
      </c>
      <c r="P1256" t="str">
        <f>HYPERLINK("https://www.facebook.com/100006975138432")</f>
        <v>https://www.facebook.com/100006975138432</v>
      </c>
      <c r="R1256" t="s">
        <v>32</v>
      </c>
      <c r="S1256" t="s">
        <v>33</v>
      </c>
      <c r="T1256" t="s">
        <v>34</v>
      </c>
      <c r="U1256" t="s">
        <v>58</v>
      </c>
      <c r="V1256" t="s">
        <v>58</v>
      </c>
    </row>
    <row r="1257" spans="1:22" ht="16">
      <c r="A1257" t="s">
        <v>2300</v>
      </c>
      <c r="B1257" t="s">
        <v>338</v>
      </c>
      <c r="C1257" t="s">
        <v>24</v>
      </c>
      <c r="D1257" t="s">
        <v>44</v>
      </c>
      <c r="E1257" t="s">
        <v>45</v>
      </c>
      <c r="F1257" t="s">
        <v>46</v>
      </c>
      <c r="G1257" t="str">
        <f>HYPERLINK("https://www.facebook.com/3033070420212465")</f>
        <v>https://www.facebook.com/3033070420212465</v>
      </c>
      <c r="H1257" t="s">
        <v>28</v>
      </c>
      <c r="I1257" t="s">
        <v>3414</v>
      </c>
      <c r="J1257" t="s">
        <v>3415</v>
      </c>
      <c r="K1257" t="str">
        <f>HYPERLINK("https://www.facebook.com/100001810099926")</f>
        <v>https://www.facebook.com/100001810099926</v>
      </c>
      <c r="M1257" t="s">
        <v>40</v>
      </c>
      <c r="N1257" t="s">
        <v>31</v>
      </c>
      <c r="O1257" t="s">
        <v>3416</v>
      </c>
      <c r="P1257" t="str">
        <f>HYPERLINK("https://www.facebook.com/732358740283656")</f>
        <v>https://www.facebook.com/732358740283656</v>
      </c>
      <c r="Q1257">
        <v>1052</v>
      </c>
      <c r="R1257" t="s">
        <v>32</v>
      </c>
      <c r="S1257" t="s">
        <v>33</v>
      </c>
      <c r="T1257" t="s">
        <v>34</v>
      </c>
      <c r="U1257" t="s">
        <v>58</v>
      </c>
      <c r="V1257" t="s">
        <v>58</v>
      </c>
    </row>
    <row r="1258" spans="1:22" ht="16">
      <c r="A1258" t="s">
        <v>2300</v>
      </c>
      <c r="B1258" t="s">
        <v>3417</v>
      </c>
      <c r="C1258" t="s">
        <v>80</v>
      </c>
      <c r="D1258" t="s">
        <v>3418</v>
      </c>
      <c r="E1258" t="s">
        <v>74</v>
      </c>
      <c r="F1258" t="s">
        <v>3</v>
      </c>
      <c r="G1258" t="str">
        <f>HYPERLINK("https://www.facebook.com/permalink.php?story_fbid=pfbid02rbt51TUb57HR4F6gBd5FwSTuyaUp3gHvM6gsAExHboTPbUq2FdNvTKt3sBpRB8pml&amp;id=100006975138432&amp;comment_id=1487123786368950")</f>
        <v>https://www.facebook.com/permalink.php?story_fbid=pfbid02rbt51TUb57HR4F6gBd5FwSTuyaUp3gHvM6gsAExHboTPbUq2FdNvTKt3sBpRB8pml&amp;id=100006975138432&amp;comment_id=1487123786368950</v>
      </c>
      <c r="H1258" t="s">
        <v>28</v>
      </c>
      <c r="I1258" t="s">
        <v>3419</v>
      </c>
      <c r="K1258" t="str">
        <f>HYPERLINK("https://www.facebook.com/100090880804869")</f>
        <v>https://www.facebook.com/100090880804869</v>
      </c>
      <c r="M1258" t="s">
        <v>40</v>
      </c>
      <c r="N1258" t="s">
        <v>31</v>
      </c>
      <c r="O1258" t="s">
        <v>1399</v>
      </c>
      <c r="P1258" t="str">
        <f>HYPERLINK("https://www.facebook.com/100006975138432")</f>
        <v>https://www.facebook.com/100006975138432</v>
      </c>
      <c r="R1258" t="s">
        <v>32</v>
      </c>
      <c r="S1258" t="s">
        <v>85</v>
      </c>
      <c r="T1258" t="s">
        <v>34</v>
      </c>
      <c r="U1258" t="s">
        <v>58</v>
      </c>
      <c r="V1258" t="s">
        <v>58</v>
      </c>
    </row>
    <row r="1259" spans="1:22" ht="16">
      <c r="A1259" t="s">
        <v>2300</v>
      </c>
      <c r="B1259" t="s">
        <v>1328</v>
      </c>
      <c r="C1259" t="s">
        <v>24</v>
      </c>
      <c r="D1259" t="s">
        <v>44</v>
      </c>
      <c r="E1259" t="s">
        <v>45</v>
      </c>
      <c r="F1259" t="s">
        <v>46</v>
      </c>
      <c r="G1259" t="str">
        <f>HYPERLINK("https://www.facebook.com/4125544567694782")</f>
        <v>https://www.facebook.com/4125544567694782</v>
      </c>
      <c r="H1259" t="s">
        <v>28</v>
      </c>
      <c r="I1259" t="s">
        <v>3420</v>
      </c>
      <c r="K1259" t="str">
        <f>HYPERLINK("https://www.facebook.com/100007178370688")</f>
        <v>https://www.facebook.com/100007178370688</v>
      </c>
      <c r="M1259" t="s">
        <v>30</v>
      </c>
      <c r="N1259" t="s">
        <v>31</v>
      </c>
      <c r="O1259" t="s">
        <v>3420</v>
      </c>
      <c r="P1259" t="str">
        <f>HYPERLINK("https://www.facebook.com/100007178370688")</f>
        <v>https://www.facebook.com/100007178370688</v>
      </c>
      <c r="R1259" t="s">
        <v>32</v>
      </c>
      <c r="S1259" t="s">
        <v>33</v>
      </c>
      <c r="T1259" t="s">
        <v>34</v>
      </c>
      <c r="U1259" t="s">
        <v>384</v>
      </c>
      <c r="V1259" t="s">
        <v>500</v>
      </c>
    </row>
    <row r="1260" spans="1:19" ht="16">
      <c r="A1260" t="s">
        <v>2300</v>
      </c>
      <c r="B1260" t="s">
        <v>1333</v>
      </c>
      <c r="C1260" t="s">
        <v>24</v>
      </c>
      <c r="D1260" t="s">
        <v>3421</v>
      </c>
      <c r="E1260" t="s">
        <v>101</v>
      </c>
      <c r="F1260" t="s">
        <v>46</v>
      </c>
      <c r="G1260" t="str">
        <f>HYPERLINK("https://www.facebook.com/10231461163421453")</f>
        <v>https://www.facebook.com/10231461163421453</v>
      </c>
      <c r="H1260" t="s">
        <v>28</v>
      </c>
      <c r="I1260" t="s">
        <v>3422</v>
      </c>
      <c r="K1260" t="str">
        <f>HYPERLINK("https://www.facebook.com/1509126608")</f>
        <v>https://www.facebook.com/1509126608</v>
      </c>
      <c r="M1260" t="s">
        <v>40</v>
      </c>
      <c r="N1260" t="s">
        <v>31</v>
      </c>
      <c r="O1260" t="s">
        <v>3422</v>
      </c>
      <c r="P1260" t="str">
        <f>HYPERLINK("https://www.facebook.com/1509126608")</f>
        <v>https://www.facebook.com/1509126608</v>
      </c>
      <c r="R1260" t="s">
        <v>32</v>
      </c>
      <c r="S1260" t="s">
        <v>33</v>
      </c>
    </row>
    <row r="1261" spans="1:19" ht="16">
      <c r="A1261" t="s">
        <v>2300</v>
      </c>
      <c r="B1261" t="s">
        <v>3423</v>
      </c>
      <c r="C1261" t="s">
        <v>24</v>
      </c>
      <c r="D1261" t="s">
        <v>44</v>
      </c>
      <c r="E1261" t="s">
        <v>45</v>
      </c>
      <c r="F1261" t="s">
        <v>46</v>
      </c>
      <c r="G1261" t="str">
        <f>HYPERLINK("https://www.facebook.com/2196116934467898")</f>
        <v>https://www.facebook.com/2196116934467898</v>
      </c>
      <c r="H1261" t="s">
        <v>28</v>
      </c>
      <c r="I1261" t="s">
        <v>3424</v>
      </c>
      <c r="K1261" t="str">
        <f>HYPERLINK("https://www.facebook.com/100022088379934")</f>
        <v>https://www.facebook.com/100022088379934</v>
      </c>
      <c r="M1261" t="s">
        <v>30</v>
      </c>
      <c r="N1261" t="s">
        <v>31</v>
      </c>
      <c r="O1261" t="s">
        <v>3424</v>
      </c>
      <c r="P1261" t="str">
        <f>HYPERLINK("https://www.facebook.com/100022088379934")</f>
        <v>https://www.facebook.com/100022088379934</v>
      </c>
      <c r="R1261" t="s">
        <v>32</v>
      </c>
      <c r="S1261" t="s">
        <v>33</v>
      </c>
    </row>
    <row r="1262" spans="1:19" ht="16">
      <c r="A1262" t="s">
        <v>2300</v>
      </c>
      <c r="B1262" t="s">
        <v>373</v>
      </c>
      <c r="C1262" t="s">
        <v>24</v>
      </c>
      <c r="D1262" t="s">
        <v>2251</v>
      </c>
      <c r="E1262" t="s">
        <v>45</v>
      </c>
      <c r="F1262" t="s">
        <v>1977</v>
      </c>
      <c r="G1262" t="str">
        <f>HYPERLINK("https://www.threads.net/@natali_zholud/post/DVQ-skICI9g")</f>
        <v>https://www.threads.net/@natali_zholud/post/DVQ-skICI9g</v>
      </c>
      <c r="H1262" t="s">
        <v>28</v>
      </c>
      <c r="I1262" t="s">
        <v>3425</v>
      </c>
      <c r="J1262" t="s">
        <v>3426</v>
      </c>
      <c r="K1262" t="str">
        <f>HYPERLINK("https://www.threads.net/@natali_zholud")</f>
        <v>https://www.threads.net/@natali_zholud</v>
      </c>
      <c r="L1262">
        <v>14</v>
      </c>
      <c r="M1262" t="s">
        <v>30</v>
      </c>
      <c r="N1262" t="s">
        <v>1980</v>
      </c>
      <c r="R1262" t="s">
        <v>32</v>
      </c>
      <c r="S1262" t="s">
        <v>33</v>
      </c>
    </row>
    <row r="1263" spans="1:22" ht="16">
      <c r="A1263" t="s">
        <v>2300</v>
      </c>
      <c r="B1263" t="s">
        <v>373</v>
      </c>
      <c r="C1263" t="s">
        <v>80</v>
      </c>
      <c r="D1263" t="s">
        <v>3427</v>
      </c>
      <c r="E1263" t="s">
        <v>74</v>
      </c>
      <c r="F1263" t="s">
        <v>3</v>
      </c>
      <c r="G1263" t="str">
        <f>HYPERLINK("https://www.facebook.com/permalink.php?story_fbid=pfbid02rbt51TUb57HR4F6gBd5FwSTuyaUp3gHvM6gsAExHboTPbUq2FdNvTKt3sBpRB8pml&amp;id=100006975138432&amp;comment_id=1994627757933233")</f>
        <v>https://www.facebook.com/permalink.php?story_fbid=pfbid02rbt51TUb57HR4F6gBd5FwSTuyaUp3gHvM6gsAExHboTPbUq2FdNvTKt3sBpRB8pml&amp;id=100006975138432&amp;comment_id=1994627757933233</v>
      </c>
      <c r="H1263" t="s">
        <v>28</v>
      </c>
      <c r="I1263" t="s">
        <v>3428</v>
      </c>
      <c r="J1263" t="s">
        <v>3429</v>
      </c>
      <c r="K1263" t="str">
        <f>HYPERLINK("https://www.facebook.com/100001410730656")</f>
        <v>https://www.facebook.com/100001410730656</v>
      </c>
      <c r="M1263" t="s">
        <v>40</v>
      </c>
      <c r="N1263" t="s">
        <v>31</v>
      </c>
      <c r="O1263" t="s">
        <v>1399</v>
      </c>
      <c r="P1263" t="str">
        <f>HYPERLINK("https://www.facebook.com/100006975138432")</f>
        <v>https://www.facebook.com/100006975138432</v>
      </c>
      <c r="R1263" t="s">
        <v>32</v>
      </c>
      <c r="S1263" t="s">
        <v>85</v>
      </c>
      <c r="T1263" t="s">
        <v>34</v>
      </c>
      <c r="U1263" t="s">
        <v>235</v>
      </c>
      <c r="V1263" t="s">
        <v>236</v>
      </c>
    </row>
    <row r="1264" spans="1:22" ht="16">
      <c r="A1264" t="s">
        <v>2300</v>
      </c>
      <c r="B1264" t="s">
        <v>1336</v>
      </c>
      <c r="C1264" t="s">
        <v>80</v>
      </c>
      <c r="D1264" t="s">
        <v>3430</v>
      </c>
      <c r="E1264" t="s">
        <v>74</v>
      </c>
      <c r="F1264" t="s">
        <v>3</v>
      </c>
      <c r="G1264" t="str">
        <f>HYPERLINK("https://www.facebook.com/permalink.php?story_fbid=pfbid02rbt51TUb57HR4F6gBd5FwSTuyaUp3gHvM6gsAExHboTPbUq2FdNvTKt3sBpRB8pml&amp;id=100006975138432&amp;comment_id=2415287435584009&amp;reply_comment_id=1576693413608802")</f>
        <v>https://www.facebook.com/permalink.php?story_fbid=pfbid02rbt51TUb57HR4F6gBd5FwSTuyaUp3gHvM6gsAExHboTPbUq2FdNvTKt3sBpRB8pml&amp;id=100006975138432&amp;comment_id=2415287435584009&amp;reply_comment_id=1576693413608802</v>
      </c>
      <c r="H1264" t="s">
        <v>28</v>
      </c>
      <c r="I1264" t="s">
        <v>1399</v>
      </c>
      <c r="K1264" t="str">
        <f>HYPERLINK("https://www.facebook.com/100006975138432")</f>
        <v>https://www.facebook.com/100006975138432</v>
      </c>
      <c r="M1264" t="s">
        <v>40</v>
      </c>
      <c r="N1264" t="s">
        <v>31</v>
      </c>
      <c r="O1264" t="s">
        <v>1399</v>
      </c>
      <c r="P1264" t="str">
        <f>HYPERLINK("https://www.facebook.com/100006975138432")</f>
        <v>https://www.facebook.com/100006975138432</v>
      </c>
      <c r="R1264" t="s">
        <v>32</v>
      </c>
      <c r="S1264" t="s">
        <v>85</v>
      </c>
      <c r="T1264" t="s">
        <v>34</v>
      </c>
      <c r="U1264" t="s">
        <v>58</v>
      </c>
      <c r="V1264" t="s">
        <v>58</v>
      </c>
    </row>
    <row r="1265" spans="1:19" ht="16">
      <c r="A1265" t="s">
        <v>2300</v>
      </c>
      <c r="B1265" t="s">
        <v>386</v>
      </c>
      <c r="C1265" t="s">
        <v>24</v>
      </c>
      <c r="D1265" t="s">
        <v>2251</v>
      </c>
      <c r="E1265" t="s">
        <v>45</v>
      </c>
      <c r="F1265" t="s">
        <v>1977</v>
      </c>
      <c r="G1265" t="str">
        <f>HYPERLINK("https://www.threads.net/@iva.kuz/post/DVQ920fjGsd")</f>
        <v>https://www.threads.net/@iva.kuz/post/DVQ920fjGsd</v>
      </c>
      <c r="H1265" t="s">
        <v>28</v>
      </c>
      <c r="I1265" t="s">
        <v>3431</v>
      </c>
      <c r="J1265" t="s">
        <v>3432</v>
      </c>
      <c r="K1265" t="str">
        <f>HYPERLINK("https://www.threads.net/@iva.kuz")</f>
        <v>https://www.threads.net/@iva.kuz</v>
      </c>
      <c r="L1265">
        <v>199</v>
      </c>
      <c r="M1265" t="s">
        <v>30</v>
      </c>
      <c r="N1265" t="s">
        <v>1980</v>
      </c>
      <c r="R1265" t="s">
        <v>32</v>
      </c>
      <c r="S1265" t="s">
        <v>33</v>
      </c>
    </row>
    <row r="1266" spans="1:22" ht="16">
      <c r="A1266" t="s">
        <v>2300</v>
      </c>
      <c r="B1266" t="s">
        <v>3433</v>
      </c>
      <c r="C1266" t="s">
        <v>80</v>
      </c>
      <c r="D1266" t="s">
        <v>3434</v>
      </c>
      <c r="E1266" t="s">
        <v>74</v>
      </c>
      <c r="F1266" t="s">
        <v>3</v>
      </c>
      <c r="G1266" t="str">
        <f>HYPERLINK("https://www.facebook.com/permalink.php?story_fbid=pfbid02rbt51TUb57HR4F6gBd5FwSTuyaUp3gHvM6gsAExHboTPbUq2FdNvTKt3sBpRB8pml&amp;id=100006975138432&amp;comment_id=2415287435584009")</f>
        <v>https://www.facebook.com/permalink.php?story_fbid=pfbid02rbt51TUb57HR4F6gBd5FwSTuyaUp3gHvM6gsAExHboTPbUq2FdNvTKt3sBpRB8pml&amp;id=100006975138432&amp;comment_id=2415287435584009</v>
      </c>
      <c r="H1266" t="s">
        <v>28</v>
      </c>
      <c r="I1266" t="s">
        <v>3435</v>
      </c>
      <c r="J1266" t="s">
        <v>3436</v>
      </c>
      <c r="K1266" t="str">
        <f>HYPERLINK("https://www.facebook.com/100002033599061")</f>
        <v>https://www.facebook.com/100002033599061</v>
      </c>
      <c r="M1266" t="s">
        <v>40</v>
      </c>
      <c r="N1266" t="s">
        <v>31</v>
      </c>
      <c r="O1266" t="s">
        <v>1399</v>
      </c>
      <c r="P1266" t="str">
        <f>HYPERLINK("https://www.facebook.com/100006975138432")</f>
        <v>https://www.facebook.com/100006975138432</v>
      </c>
      <c r="R1266" t="s">
        <v>32</v>
      </c>
      <c r="S1266" t="s">
        <v>33</v>
      </c>
      <c r="T1266" t="s">
        <v>34</v>
      </c>
      <c r="U1266" t="s">
        <v>58</v>
      </c>
      <c r="V1266" t="s">
        <v>58</v>
      </c>
    </row>
    <row r="1267" spans="1:22" ht="16">
      <c r="A1267" t="s">
        <v>2300</v>
      </c>
      <c r="B1267" t="s">
        <v>3437</v>
      </c>
      <c r="C1267" t="s">
        <v>72</v>
      </c>
      <c r="D1267" t="s">
        <v>3438</v>
      </c>
      <c r="E1267" t="s">
        <v>74</v>
      </c>
      <c r="F1267" t="s">
        <v>3</v>
      </c>
      <c r="G1267" t="str">
        <f>HYPERLINK("https://www.facebook.com/antonov.vs/posts/pfbid0WoDA925DuzoodzbS7V28bt4ds9TmfsHEXjvxieTXWzQ3cuc53piJ6r5PvYjhKEdjl?comment_id=1207786878044559")</f>
        <v>https://www.facebook.com/antonov.vs/posts/pfbid0WoDA925DuzoodzbS7V28bt4ds9TmfsHEXjvxieTXWzQ3cuc53piJ6r5PvYjhKEdjl?comment_id=1207786878044559</v>
      </c>
      <c r="H1267" t="s">
        <v>28</v>
      </c>
      <c r="I1267" t="s">
        <v>3439</v>
      </c>
      <c r="K1267" t="str">
        <f>HYPERLINK("https://www.facebook.com/100012442988376")</f>
        <v>https://www.facebook.com/100012442988376</v>
      </c>
      <c r="M1267" t="s">
        <v>30</v>
      </c>
      <c r="N1267" t="s">
        <v>31</v>
      </c>
      <c r="O1267" t="s">
        <v>1127</v>
      </c>
      <c r="P1267" t="str">
        <f>HYPERLINK("https://www.facebook.com/100002292546539")</f>
        <v>https://www.facebook.com/100002292546539</v>
      </c>
      <c r="Q1267">
        <v>485</v>
      </c>
      <c r="R1267" t="s">
        <v>32</v>
      </c>
      <c r="S1267" t="s">
        <v>33</v>
      </c>
      <c r="T1267" t="s">
        <v>34</v>
      </c>
      <c r="U1267" t="s">
        <v>1308</v>
      </c>
      <c r="V1267" t="s">
        <v>1309</v>
      </c>
    </row>
    <row r="1268" spans="1:19" ht="16">
      <c r="A1268" t="s">
        <v>2300</v>
      </c>
      <c r="B1268" t="s">
        <v>510</v>
      </c>
      <c r="C1268" t="s">
        <v>24</v>
      </c>
      <c r="D1268" t="s">
        <v>3440</v>
      </c>
      <c r="E1268" t="s">
        <v>26</v>
      </c>
      <c r="F1268" t="s">
        <v>46</v>
      </c>
      <c r="G1268" t="str">
        <f>HYPERLINK("https://www.facebook.com/892808036993620")</f>
        <v>https://www.facebook.com/892808036993620</v>
      </c>
      <c r="H1268" t="s">
        <v>28</v>
      </c>
      <c r="I1268" t="s">
        <v>3441</v>
      </c>
      <c r="K1268" t="str">
        <f>HYPERLINK("https://www.facebook.com/100087932948442")</f>
        <v>https://www.facebook.com/100087932948442</v>
      </c>
      <c r="M1268" t="s">
        <v>30</v>
      </c>
      <c r="N1268" t="s">
        <v>31</v>
      </c>
      <c r="O1268" t="s">
        <v>3441</v>
      </c>
      <c r="P1268" t="str">
        <f>HYPERLINK("https://www.facebook.com/100087932948442")</f>
        <v>https://www.facebook.com/100087932948442</v>
      </c>
      <c r="R1268" t="s">
        <v>32</v>
      </c>
      <c r="S1268" t="s">
        <v>33</v>
      </c>
    </row>
    <row r="1269" spans="1:22" ht="16">
      <c r="A1269" t="s">
        <v>2300</v>
      </c>
      <c r="B1269" t="s">
        <v>516</v>
      </c>
      <c r="C1269" t="s">
        <v>24</v>
      </c>
      <c r="D1269" t="s">
        <v>44</v>
      </c>
      <c r="E1269" t="s">
        <v>45</v>
      </c>
      <c r="F1269" t="s">
        <v>46</v>
      </c>
      <c r="G1269" t="str">
        <f>HYPERLINK("https://www.facebook.com/26284055157902116")</f>
        <v>https://www.facebook.com/26284055157902116</v>
      </c>
      <c r="H1269" t="s">
        <v>28</v>
      </c>
      <c r="I1269" t="s">
        <v>3339</v>
      </c>
      <c r="K1269" t="str">
        <f>HYPERLINK("https://www.facebook.com/100001729704672")</f>
        <v>https://www.facebook.com/100001729704672</v>
      </c>
      <c r="M1269" t="s">
        <v>40</v>
      </c>
      <c r="N1269" t="s">
        <v>31</v>
      </c>
      <c r="O1269" t="s">
        <v>3339</v>
      </c>
      <c r="P1269" t="str">
        <f>HYPERLINK("https://www.facebook.com/100001729704672")</f>
        <v>https://www.facebook.com/100001729704672</v>
      </c>
      <c r="R1269" t="s">
        <v>32</v>
      </c>
      <c r="S1269" t="s">
        <v>33</v>
      </c>
      <c r="T1269" t="s">
        <v>34</v>
      </c>
      <c r="U1269" t="s">
        <v>899</v>
      </c>
      <c r="V1269" t="s">
        <v>900</v>
      </c>
    </row>
    <row r="1270" spans="1:22" ht="16">
      <c r="A1270" t="s">
        <v>2300</v>
      </c>
      <c r="B1270" t="s">
        <v>565</v>
      </c>
      <c r="C1270" t="s">
        <v>80</v>
      </c>
      <c r="D1270" t="s">
        <v>3442</v>
      </c>
      <c r="E1270" t="s">
        <v>74</v>
      </c>
      <c r="F1270" t="s">
        <v>3</v>
      </c>
      <c r="G1270" t="str">
        <f>HYPERLINK("https://www.facebook.com/permalink.php?story_fbid=pfbid02rbt51TUb57HR4F6gBd5FwSTuyaUp3gHvM6gsAExHboTPbUq2FdNvTKt3sBpRB8pml&amp;id=100006975138432&amp;comment_id=1246737544071471")</f>
        <v>https://www.facebook.com/permalink.php?story_fbid=pfbid02rbt51TUb57HR4F6gBd5FwSTuyaUp3gHvM6gsAExHboTPbUq2FdNvTKt3sBpRB8pml&amp;id=100006975138432&amp;comment_id=1246737544071471</v>
      </c>
      <c r="H1270" t="s">
        <v>28</v>
      </c>
      <c r="I1270" t="s">
        <v>3443</v>
      </c>
      <c r="K1270" t="str">
        <f>HYPERLINK("https://www.facebook.com/100077351145976")</f>
        <v>https://www.facebook.com/100077351145976</v>
      </c>
      <c r="M1270" t="s">
        <v>40</v>
      </c>
      <c r="N1270" t="s">
        <v>31</v>
      </c>
      <c r="O1270" t="s">
        <v>1399</v>
      </c>
      <c r="P1270" t="str">
        <f>HYPERLINK("https://www.facebook.com/100006975138432")</f>
        <v>https://www.facebook.com/100006975138432</v>
      </c>
      <c r="R1270" t="s">
        <v>32</v>
      </c>
      <c r="S1270" t="s">
        <v>57</v>
      </c>
      <c r="T1270" t="s">
        <v>34</v>
      </c>
      <c r="U1270" t="s">
        <v>58</v>
      </c>
      <c r="V1270" t="s">
        <v>58</v>
      </c>
    </row>
    <row r="1271" spans="1:19" ht="16">
      <c r="A1271" t="s">
        <v>2300</v>
      </c>
      <c r="B1271" t="s">
        <v>569</v>
      </c>
      <c r="C1271" t="s">
        <v>24</v>
      </c>
      <c r="D1271" t="s">
        <v>44</v>
      </c>
      <c r="E1271" t="s">
        <v>45</v>
      </c>
      <c r="F1271" t="s">
        <v>46</v>
      </c>
      <c r="G1271" t="str">
        <f>HYPERLINK("https://www.facebook.com/2421056105003297")</f>
        <v>https://www.facebook.com/2421056105003297</v>
      </c>
      <c r="H1271" t="s">
        <v>28</v>
      </c>
      <c r="I1271" t="s">
        <v>3444</v>
      </c>
      <c r="K1271" t="str">
        <f>HYPERLINK("https://www.facebook.com/100012967921310")</f>
        <v>https://www.facebook.com/100012967921310</v>
      </c>
      <c r="M1271" t="s">
        <v>40</v>
      </c>
      <c r="N1271" t="s">
        <v>31</v>
      </c>
      <c r="O1271" t="s">
        <v>3444</v>
      </c>
      <c r="P1271" t="str">
        <f>HYPERLINK("https://www.facebook.com/100012967921310")</f>
        <v>https://www.facebook.com/100012967921310</v>
      </c>
      <c r="R1271" t="s">
        <v>32</v>
      </c>
      <c r="S1271" t="s">
        <v>33</v>
      </c>
    </row>
    <row r="1272" spans="1:19" ht="16">
      <c r="A1272" t="s">
        <v>2300</v>
      </c>
      <c r="B1272" t="s">
        <v>575</v>
      </c>
      <c r="C1272" t="s">
        <v>24</v>
      </c>
      <c r="D1272" t="s">
        <v>2251</v>
      </c>
      <c r="E1272" t="s">
        <v>45</v>
      </c>
      <c r="F1272" t="s">
        <v>1977</v>
      </c>
      <c r="G1272" t="str">
        <f>HYPERLINK("https://www.threads.net/@kenar27112/post/DVQ5ou9CK5V")</f>
        <v>https://www.threads.net/@kenar27112/post/DVQ5ou9CK5V</v>
      </c>
      <c r="H1272" t="s">
        <v>28</v>
      </c>
      <c r="I1272" t="s">
        <v>3445</v>
      </c>
      <c r="J1272" t="s">
        <v>3446</v>
      </c>
      <c r="K1272" t="str">
        <f>HYPERLINK("https://www.threads.net/@kenar27112")</f>
        <v>https://www.threads.net/@kenar27112</v>
      </c>
      <c r="L1272">
        <v>13</v>
      </c>
      <c r="M1272" t="s">
        <v>40</v>
      </c>
      <c r="N1272" t="s">
        <v>1980</v>
      </c>
      <c r="R1272" t="s">
        <v>32</v>
      </c>
      <c r="S1272" t="s">
        <v>33</v>
      </c>
    </row>
    <row r="1273" spans="1:22" ht="16">
      <c r="A1273" t="s">
        <v>2300</v>
      </c>
      <c r="B1273" t="s">
        <v>591</v>
      </c>
      <c r="C1273" t="s">
        <v>80</v>
      </c>
      <c r="D1273" t="s">
        <v>3447</v>
      </c>
      <c r="E1273" t="s">
        <v>74</v>
      </c>
      <c r="F1273" t="s">
        <v>3</v>
      </c>
      <c r="G1273" t="str">
        <f>HYPERLINK("https://www.facebook.com/permalink.php?story_fbid=pfbid02rbt51TUb57HR4F6gBd5FwSTuyaUp3gHvM6gsAExHboTPbUq2FdNvTKt3sBpRB8pml&amp;id=100006975138432&amp;comment_id=2428174644290694")</f>
        <v>https://www.facebook.com/permalink.php?story_fbid=pfbid02rbt51TUb57HR4F6gBd5FwSTuyaUp3gHvM6gsAExHboTPbUq2FdNvTKt3sBpRB8pml&amp;id=100006975138432&amp;comment_id=2428174644290694</v>
      </c>
      <c r="H1273" t="s">
        <v>28</v>
      </c>
      <c r="I1273" t="s">
        <v>1700</v>
      </c>
      <c r="K1273" t="str">
        <f>HYPERLINK("https://www.facebook.com/100004158840378")</f>
        <v>https://www.facebook.com/100004158840378</v>
      </c>
      <c r="M1273" t="s">
        <v>40</v>
      </c>
      <c r="N1273" t="s">
        <v>31</v>
      </c>
      <c r="O1273" t="s">
        <v>1399</v>
      </c>
      <c r="P1273" t="str">
        <f>HYPERLINK("https://www.facebook.com/100006975138432")</f>
        <v>https://www.facebook.com/100006975138432</v>
      </c>
      <c r="R1273" t="s">
        <v>32</v>
      </c>
      <c r="S1273" t="s">
        <v>85</v>
      </c>
      <c r="T1273" t="s">
        <v>34</v>
      </c>
      <c r="U1273" t="s">
        <v>58</v>
      </c>
      <c r="V1273" t="s">
        <v>58</v>
      </c>
    </row>
    <row r="1274" spans="1:22" ht="16">
      <c r="A1274" t="s">
        <v>2300</v>
      </c>
      <c r="B1274" t="s">
        <v>3448</v>
      </c>
      <c r="C1274" t="s">
        <v>80</v>
      </c>
      <c r="D1274" t="s">
        <v>3449</v>
      </c>
      <c r="E1274" t="s">
        <v>74</v>
      </c>
      <c r="F1274" t="s">
        <v>3</v>
      </c>
      <c r="G1274" t="str">
        <f>HYPERLINK("https://www.facebook.com/permalink.php?story_fbid=pfbid02rbt51TUb57HR4F6gBd5FwSTuyaUp3gHvM6gsAExHboTPbUq2FdNvTKt3sBpRB8pml&amp;id=100006975138432&amp;comment_id=2432399120537511")</f>
        <v>https://www.facebook.com/permalink.php?story_fbid=pfbid02rbt51TUb57HR4F6gBd5FwSTuyaUp3gHvM6gsAExHboTPbUq2FdNvTKt3sBpRB8pml&amp;id=100006975138432&amp;comment_id=2432399120537511</v>
      </c>
      <c r="H1274" t="s">
        <v>28</v>
      </c>
      <c r="I1274" t="s">
        <v>3450</v>
      </c>
      <c r="K1274" t="str">
        <f>HYPERLINK("https://www.facebook.com/100009113125997")</f>
        <v>https://www.facebook.com/100009113125997</v>
      </c>
      <c r="M1274" t="s">
        <v>30</v>
      </c>
      <c r="N1274" t="s">
        <v>31</v>
      </c>
      <c r="O1274" t="s">
        <v>1399</v>
      </c>
      <c r="P1274" t="str">
        <f>HYPERLINK("https://www.facebook.com/100006975138432")</f>
        <v>https://www.facebook.com/100006975138432</v>
      </c>
      <c r="R1274" t="s">
        <v>32</v>
      </c>
      <c r="S1274" t="s">
        <v>85</v>
      </c>
      <c r="T1274" t="s">
        <v>34</v>
      </c>
      <c r="U1274" t="s">
        <v>58</v>
      </c>
      <c r="V1274" t="s">
        <v>58</v>
      </c>
    </row>
    <row r="1275" spans="1:19" ht="16">
      <c r="A1275" t="s">
        <v>2300</v>
      </c>
      <c r="B1275" t="s">
        <v>609</v>
      </c>
      <c r="C1275" t="s">
        <v>24</v>
      </c>
      <c r="D1275" t="s">
        <v>44</v>
      </c>
      <c r="E1275" t="s">
        <v>45</v>
      </c>
      <c r="F1275" t="s">
        <v>46</v>
      </c>
      <c r="G1275" t="str">
        <f>HYPERLINK("https://www.facebook.com/925156383774808")</f>
        <v>https://www.facebook.com/925156383774808</v>
      </c>
      <c r="H1275" t="s">
        <v>28</v>
      </c>
      <c r="I1275" t="s">
        <v>3451</v>
      </c>
      <c r="K1275" t="str">
        <f>HYPERLINK("https://www.facebook.com/100088413632926")</f>
        <v>https://www.facebook.com/100088413632926</v>
      </c>
      <c r="M1275" t="s">
        <v>40</v>
      </c>
      <c r="N1275" t="s">
        <v>31</v>
      </c>
      <c r="O1275" t="s">
        <v>3451</v>
      </c>
      <c r="P1275" t="str">
        <f>HYPERLINK("https://www.facebook.com/100088413632926")</f>
        <v>https://www.facebook.com/100088413632926</v>
      </c>
      <c r="R1275" t="s">
        <v>32</v>
      </c>
      <c r="S1275" t="s">
        <v>33</v>
      </c>
    </row>
    <row r="1276" spans="1:21" ht="16">
      <c r="A1276" t="s">
        <v>2300</v>
      </c>
      <c r="B1276" t="s">
        <v>611</v>
      </c>
      <c r="C1276" t="s">
        <v>24</v>
      </c>
      <c r="D1276" t="s">
        <v>44</v>
      </c>
      <c r="E1276" t="s">
        <v>45</v>
      </c>
      <c r="F1276" t="s">
        <v>46</v>
      </c>
      <c r="G1276" t="str">
        <f>HYPERLINK("https://www.facebook.com/34474846622106711")</f>
        <v>https://www.facebook.com/34474846622106711</v>
      </c>
      <c r="H1276" t="s">
        <v>28</v>
      </c>
      <c r="I1276" t="s">
        <v>3452</v>
      </c>
      <c r="J1276" t="s">
        <v>3453</v>
      </c>
      <c r="K1276" t="str">
        <f>HYPERLINK("https://www.facebook.com/1216323081")</f>
        <v>https://www.facebook.com/1216323081</v>
      </c>
      <c r="M1276" t="s">
        <v>40</v>
      </c>
      <c r="N1276" t="s">
        <v>31</v>
      </c>
      <c r="O1276" t="s">
        <v>3454</v>
      </c>
      <c r="P1276" t="str">
        <f>HYPERLINK("https://www.facebook.com/163689953649150")</f>
        <v>https://www.facebook.com/163689953649150</v>
      </c>
      <c r="Q1276">
        <v>6362</v>
      </c>
      <c r="R1276" t="s">
        <v>32</v>
      </c>
      <c r="S1276" t="s">
        <v>33</v>
      </c>
      <c r="T1276" t="s">
        <v>108</v>
      </c>
      <c r="U1276" t="s">
        <v>3455</v>
      </c>
    </row>
    <row r="1277" spans="1:21" ht="16">
      <c r="A1277" t="s">
        <v>2300</v>
      </c>
      <c r="B1277" t="s">
        <v>611</v>
      </c>
      <c r="C1277" t="s">
        <v>24</v>
      </c>
      <c r="D1277" t="s">
        <v>44</v>
      </c>
      <c r="E1277" t="s">
        <v>45</v>
      </c>
      <c r="F1277" t="s">
        <v>46</v>
      </c>
      <c r="G1277" t="str">
        <f>HYPERLINK("https://www.facebook.com/26739751565643356")</f>
        <v>https://www.facebook.com/26739751565643356</v>
      </c>
      <c r="H1277" t="s">
        <v>28</v>
      </c>
      <c r="I1277" t="s">
        <v>3452</v>
      </c>
      <c r="J1277" t="s">
        <v>3453</v>
      </c>
      <c r="K1277" t="str">
        <f>HYPERLINK("https://www.facebook.com/1216323081")</f>
        <v>https://www.facebook.com/1216323081</v>
      </c>
      <c r="M1277" t="s">
        <v>40</v>
      </c>
      <c r="N1277" t="s">
        <v>31</v>
      </c>
      <c r="O1277" t="s">
        <v>2412</v>
      </c>
      <c r="P1277" t="str">
        <f>HYPERLINK("https://www.facebook.com/595133910531812")</f>
        <v>https://www.facebook.com/595133910531812</v>
      </c>
      <c r="Q1277">
        <v>13882</v>
      </c>
      <c r="R1277" t="s">
        <v>32</v>
      </c>
      <c r="S1277" t="s">
        <v>33</v>
      </c>
      <c r="T1277" t="s">
        <v>108</v>
      </c>
      <c r="U1277" t="s">
        <v>3455</v>
      </c>
    </row>
    <row r="1278" spans="1:22" ht="16">
      <c r="A1278" t="s">
        <v>2300</v>
      </c>
      <c r="B1278" t="s">
        <v>624</v>
      </c>
      <c r="C1278" t="s">
        <v>24</v>
      </c>
      <c r="D1278" t="s">
        <v>44</v>
      </c>
      <c r="E1278" t="s">
        <v>26</v>
      </c>
      <c r="F1278" t="s">
        <v>46</v>
      </c>
      <c r="G1278" t="str">
        <f>HYPERLINK("https://www.facebook.com/4288458508063278")</f>
        <v>https://www.facebook.com/4288458508063278</v>
      </c>
      <c r="H1278" t="s">
        <v>28</v>
      </c>
      <c r="I1278" t="s">
        <v>1399</v>
      </c>
      <c r="K1278" t="str">
        <f>HYPERLINK("https://www.facebook.com/100006975138432")</f>
        <v>https://www.facebook.com/100006975138432</v>
      </c>
      <c r="M1278" t="s">
        <v>40</v>
      </c>
      <c r="N1278" t="s">
        <v>31</v>
      </c>
      <c r="O1278" t="s">
        <v>1399</v>
      </c>
      <c r="P1278" t="str">
        <f>HYPERLINK("https://www.facebook.com/100006975138432")</f>
        <v>https://www.facebook.com/100006975138432</v>
      </c>
      <c r="R1278" t="s">
        <v>32</v>
      </c>
      <c r="S1278" t="s">
        <v>33</v>
      </c>
      <c r="T1278" t="s">
        <v>34</v>
      </c>
      <c r="U1278" t="s">
        <v>58</v>
      </c>
      <c r="V1278" t="s">
        <v>58</v>
      </c>
    </row>
    <row r="1279" spans="1:19" ht="16">
      <c r="A1279" t="s">
        <v>2300</v>
      </c>
      <c r="B1279" t="s">
        <v>631</v>
      </c>
      <c r="C1279" t="s">
        <v>3456</v>
      </c>
      <c r="D1279" t="s">
        <v>3457</v>
      </c>
      <c r="E1279" t="s">
        <v>74</v>
      </c>
      <c r="F1279" t="s">
        <v>3</v>
      </c>
      <c r="G1279" t="str">
        <f>HYPERLINK("https://telegram.me/kypernews/28609?comment=659571")</f>
        <v>https://telegram.me/kypernews/28609?comment=659571</v>
      </c>
      <c r="H1279" t="s">
        <v>28</v>
      </c>
      <c r="I1279" t="s">
        <v>3458</v>
      </c>
      <c r="J1279" t="s">
        <v>3459</v>
      </c>
      <c r="K1279" t="str">
        <f>HYPERLINK("https://telegram.me/novis6666")</f>
        <v>https://telegram.me/novis6666</v>
      </c>
      <c r="M1279" t="s">
        <v>40</v>
      </c>
      <c r="N1279" t="s">
        <v>346</v>
      </c>
      <c r="O1279" t="s">
        <v>3460</v>
      </c>
      <c r="P1279" t="str">
        <f>HYPERLINK("https://telegram.me/kypernews")</f>
        <v>https://telegram.me/kypernews</v>
      </c>
      <c r="Q1279">
        <v>58635</v>
      </c>
      <c r="R1279" t="s">
        <v>347</v>
      </c>
      <c r="S1279" t="s">
        <v>85</v>
      </c>
    </row>
    <row r="1280" spans="1:19" ht="16">
      <c r="A1280" t="s">
        <v>2300</v>
      </c>
      <c r="B1280" t="s">
        <v>631</v>
      </c>
      <c r="C1280" t="s">
        <v>3456</v>
      </c>
      <c r="D1280" t="s">
        <v>3461</v>
      </c>
      <c r="E1280" t="s">
        <v>74</v>
      </c>
      <c r="F1280" t="s">
        <v>3</v>
      </c>
      <c r="G1280" t="str">
        <f>HYPERLINK("https://telegram.me/kypernews/28609?comment=659568")</f>
        <v>https://telegram.me/kypernews/28609?comment=659568</v>
      </c>
      <c r="H1280" t="s">
        <v>28</v>
      </c>
      <c r="I1280" t="s">
        <v>3462</v>
      </c>
      <c r="J1280" t="s">
        <v>3463</v>
      </c>
      <c r="K1280" t="str">
        <f>HYPERLINK("https://telegram.me/devilautgd")</f>
        <v>https://telegram.me/devilautgd</v>
      </c>
      <c r="N1280" t="s">
        <v>346</v>
      </c>
      <c r="O1280" t="s">
        <v>3460</v>
      </c>
      <c r="P1280" t="str">
        <f>HYPERLINK("https://telegram.me/kypernews")</f>
        <v>https://telegram.me/kypernews</v>
      </c>
      <c r="Q1280">
        <v>58635</v>
      </c>
      <c r="R1280" t="s">
        <v>347</v>
      </c>
      <c r="S1280" t="s">
        <v>85</v>
      </c>
    </row>
    <row r="1281" spans="1:22" ht="16">
      <c r="A1281" t="s">
        <v>2300</v>
      </c>
      <c r="B1281" t="s">
        <v>1373</v>
      </c>
      <c r="C1281" t="s">
        <v>72</v>
      </c>
      <c r="D1281" t="s">
        <v>3464</v>
      </c>
      <c r="E1281" t="s">
        <v>74</v>
      </c>
      <c r="F1281" t="s">
        <v>3</v>
      </c>
      <c r="G1281" t="str">
        <f>HYPERLINK("https://www.facebook.com/antonov.vs/posts/pfbid0WoDA925DuzoodzbS7V28bt4ds9TmfsHEXjvxieTXWzQ3cuc53piJ6r5PvYjhKEdjl?comment_id=1180288504180899")</f>
        <v>https://www.facebook.com/antonov.vs/posts/pfbid0WoDA925DuzoodzbS7V28bt4ds9TmfsHEXjvxieTXWzQ3cuc53piJ6r5PvYjhKEdjl?comment_id=1180288504180899</v>
      </c>
      <c r="H1281" t="s">
        <v>28</v>
      </c>
      <c r="I1281" t="s">
        <v>3465</v>
      </c>
      <c r="K1281" t="str">
        <f>HYPERLINK("https://www.facebook.com/100054199030788")</f>
        <v>https://www.facebook.com/100054199030788</v>
      </c>
      <c r="M1281" t="s">
        <v>30</v>
      </c>
      <c r="N1281" t="s">
        <v>31</v>
      </c>
      <c r="O1281" t="s">
        <v>1127</v>
      </c>
      <c r="P1281" t="str">
        <f>HYPERLINK("https://www.facebook.com/100002292546539")</f>
        <v>https://www.facebook.com/100002292546539</v>
      </c>
      <c r="Q1281">
        <v>485</v>
      </c>
      <c r="R1281" t="s">
        <v>32</v>
      </c>
      <c r="S1281" t="s">
        <v>33</v>
      </c>
      <c r="T1281" t="s">
        <v>34</v>
      </c>
      <c r="U1281" t="s">
        <v>167</v>
      </c>
      <c r="V1281" t="s">
        <v>189</v>
      </c>
    </row>
    <row r="1282" spans="1:19" ht="16">
      <c r="A1282" t="s">
        <v>2300</v>
      </c>
      <c r="B1282" t="s">
        <v>651</v>
      </c>
      <c r="C1282" t="s">
        <v>24</v>
      </c>
      <c r="D1282" t="s">
        <v>3466</v>
      </c>
      <c r="E1282" t="s">
        <v>26</v>
      </c>
      <c r="F1282" t="s">
        <v>342</v>
      </c>
      <c r="G1282" t="str">
        <f>HYPERLINK("https://telegram.me/kypernews/28609")</f>
        <v>https://telegram.me/kypernews/28609</v>
      </c>
      <c r="H1282" t="s">
        <v>28</v>
      </c>
      <c r="I1282" t="s">
        <v>3460</v>
      </c>
      <c r="J1282" t="s">
        <v>3467</v>
      </c>
      <c r="K1282" t="str">
        <f>HYPERLINK("https://telegram.me/kypernews")</f>
        <v>https://telegram.me/kypernews</v>
      </c>
      <c r="L1282">
        <v>58635</v>
      </c>
      <c r="M1282" t="s">
        <v>345</v>
      </c>
      <c r="N1282" t="s">
        <v>346</v>
      </c>
      <c r="O1282" t="s">
        <v>3460</v>
      </c>
      <c r="P1282" t="str">
        <f>HYPERLINK("https://telegram.me/kypernews")</f>
        <v>https://telegram.me/kypernews</v>
      </c>
      <c r="Q1282">
        <v>58635</v>
      </c>
      <c r="R1282" t="s">
        <v>347</v>
      </c>
      <c r="S1282" t="s">
        <v>33</v>
      </c>
    </row>
    <row r="1283" spans="1:22" ht="16">
      <c r="A1283" t="s">
        <v>2300</v>
      </c>
      <c r="B1283" t="s">
        <v>667</v>
      </c>
      <c r="C1283" t="s">
        <v>72</v>
      </c>
      <c r="D1283" t="s">
        <v>3468</v>
      </c>
      <c r="E1283" t="s">
        <v>74</v>
      </c>
      <c r="F1283" t="s">
        <v>3</v>
      </c>
      <c r="G1283" t="str">
        <f>HYPERLINK("https://www.facebook.com/antonov.vs/posts/pfbid0WoDA925DuzoodzbS7V28bt4ds9TmfsHEXjvxieTXWzQ3cuc53piJ6r5PvYjhKEdjl?comment_id=1131271365713707")</f>
        <v>https://www.facebook.com/antonov.vs/posts/pfbid0WoDA925DuzoodzbS7V28bt4ds9TmfsHEXjvxieTXWzQ3cuc53piJ6r5PvYjhKEdjl?comment_id=1131271365713707</v>
      </c>
      <c r="H1283" t="s">
        <v>28</v>
      </c>
      <c r="I1283" t="s">
        <v>3469</v>
      </c>
      <c r="K1283" t="str">
        <f>HYPERLINK("https://www.facebook.com/100044986650535")</f>
        <v>https://www.facebook.com/100044986650535</v>
      </c>
      <c r="L1283">
        <v>110</v>
      </c>
      <c r="M1283" t="s">
        <v>40</v>
      </c>
      <c r="N1283" t="s">
        <v>31</v>
      </c>
      <c r="O1283" t="s">
        <v>1127</v>
      </c>
      <c r="P1283" t="str">
        <f>HYPERLINK("https://www.facebook.com/100002292546539")</f>
        <v>https://www.facebook.com/100002292546539</v>
      </c>
      <c r="Q1283">
        <v>485</v>
      </c>
      <c r="R1283" t="s">
        <v>32</v>
      </c>
      <c r="S1283" t="s">
        <v>57</v>
      </c>
      <c r="T1283" t="s">
        <v>34</v>
      </c>
      <c r="U1283" t="s">
        <v>1308</v>
      </c>
      <c r="V1283" t="s">
        <v>1309</v>
      </c>
    </row>
    <row r="1284" spans="1:22" ht="16">
      <c r="A1284" t="s">
        <v>2300</v>
      </c>
      <c r="B1284" t="s">
        <v>3470</v>
      </c>
      <c r="C1284" t="s">
        <v>72</v>
      </c>
      <c r="D1284" t="s">
        <v>3471</v>
      </c>
      <c r="E1284" t="s">
        <v>74</v>
      </c>
      <c r="F1284" t="s">
        <v>102</v>
      </c>
      <c r="G1284" t="str">
        <f>HYPERLINK("https://www.facebook.com/antonov.vs/posts/pfbid0WoDA925DuzoodzbS7V28bt4ds9TmfsHEXjvxieTXWzQ3cuc53piJ6r5PvYjhKEdjl?comment_id=944185741268655&amp;reply_comment_id=1429416035315955")</f>
        <v>https://www.facebook.com/antonov.vs/posts/pfbid0WoDA925DuzoodzbS7V28bt4ds9TmfsHEXjvxieTXWzQ3cuc53piJ6r5PvYjhKEdjl?comment_id=944185741268655&amp;reply_comment_id=1429416035315955</v>
      </c>
      <c r="H1284" t="s">
        <v>28</v>
      </c>
      <c r="I1284" t="s">
        <v>3472</v>
      </c>
      <c r="K1284" t="str">
        <f>HYPERLINK("https://www.facebook.com/61554358107065")</f>
        <v>https://www.facebook.com/61554358107065</v>
      </c>
      <c r="M1284" t="s">
        <v>30</v>
      </c>
      <c r="N1284" t="s">
        <v>31</v>
      </c>
      <c r="O1284" t="s">
        <v>1127</v>
      </c>
      <c r="P1284" t="str">
        <f>HYPERLINK("https://www.facebook.com/100002292546539")</f>
        <v>https://www.facebook.com/100002292546539</v>
      </c>
      <c r="Q1284">
        <v>485</v>
      </c>
      <c r="R1284" t="s">
        <v>32</v>
      </c>
      <c r="S1284" t="s">
        <v>85</v>
      </c>
      <c r="T1284" t="s">
        <v>34</v>
      </c>
      <c r="U1284" t="s">
        <v>1308</v>
      </c>
      <c r="V1284" t="s">
        <v>1309</v>
      </c>
    </row>
    <row r="1285" spans="1:19" ht="16">
      <c r="A1285" t="s">
        <v>2300</v>
      </c>
      <c r="B1285" t="s">
        <v>694</v>
      </c>
      <c r="C1285" t="s">
        <v>24</v>
      </c>
      <c r="D1285" t="s">
        <v>1976</v>
      </c>
      <c r="E1285" t="s">
        <v>45</v>
      </c>
      <c r="F1285" t="s">
        <v>46</v>
      </c>
      <c r="G1285" t="str">
        <f>HYPERLINK("https://www.facebook.com/1544194296881099")</f>
        <v>https://www.facebook.com/1544194296881099</v>
      </c>
      <c r="H1285" t="s">
        <v>28</v>
      </c>
      <c r="I1285" t="s">
        <v>3473</v>
      </c>
      <c r="J1285" t="s">
        <v>3474</v>
      </c>
      <c r="K1285" t="str">
        <f>HYPERLINK("https://www.facebook.com/100038716291325")</f>
        <v>https://www.facebook.com/100038716291325</v>
      </c>
      <c r="L1285">
        <v>0</v>
      </c>
      <c r="M1285" t="s">
        <v>30</v>
      </c>
      <c r="N1285" t="s">
        <v>31</v>
      </c>
      <c r="O1285" t="s">
        <v>3473</v>
      </c>
      <c r="P1285" t="str">
        <f>HYPERLINK("https://www.facebook.com/100038716291325")</f>
        <v>https://www.facebook.com/100038716291325</v>
      </c>
      <c r="Q1285">
        <v>0</v>
      </c>
      <c r="R1285" t="s">
        <v>32</v>
      </c>
      <c r="S1285" t="s">
        <v>33</v>
      </c>
    </row>
    <row r="1286" spans="1:22" ht="16">
      <c r="A1286" t="s">
        <v>2300</v>
      </c>
      <c r="B1286" t="s">
        <v>696</v>
      </c>
      <c r="C1286" t="s">
        <v>72</v>
      </c>
      <c r="D1286" t="s">
        <v>3475</v>
      </c>
      <c r="E1286" t="s">
        <v>74</v>
      </c>
      <c r="F1286" t="s">
        <v>3</v>
      </c>
      <c r="G1286" t="str">
        <f>HYPERLINK("https://www.facebook.com/antonov.vs/posts/pfbid0WoDA925DuzoodzbS7V28bt4ds9TmfsHEXjvxieTXWzQ3cuc53piJ6r5PvYjhKEdjl?comment_id=1238162864509287")</f>
        <v>https://www.facebook.com/antonov.vs/posts/pfbid0WoDA925DuzoodzbS7V28bt4ds9TmfsHEXjvxieTXWzQ3cuc53piJ6r5PvYjhKEdjl?comment_id=1238162864509287</v>
      </c>
      <c r="H1286" t="s">
        <v>28</v>
      </c>
      <c r="I1286" t="s">
        <v>3476</v>
      </c>
      <c r="K1286" t="str">
        <f>HYPERLINK("https://www.facebook.com/100022053434405")</f>
        <v>https://www.facebook.com/100022053434405</v>
      </c>
      <c r="M1286" t="s">
        <v>40</v>
      </c>
      <c r="N1286" t="s">
        <v>31</v>
      </c>
      <c r="O1286" t="s">
        <v>1127</v>
      </c>
      <c r="P1286" t="str">
        <f>HYPERLINK("https://www.facebook.com/100002292546539")</f>
        <v>https://www.facebook.com/100002292546539</v>
      </c>
      <c r="Q1286">
        <v>485</v>
      </c>
      <c r="R1286" t="s">
        <v>32</v>
      </c>
      <c r="S1286" t="s">
        <v>33</v>
      </c>
      <c r="T1286" t="s">
        <v>34</v>
      </c>
      <c r="U1286" t="s">
        <v>1308</v>
      </c>
      <c r="V1286" t="s">
        <v>1309</v>
      </c>
    </row>
    <row r="1287" spans="1:22" ht="16">
      <c r="A1287" t="s">
        <v>2300</v>
      </c>
      <c r="B1287" t="s">
        <v>3477</v>
      </c>
      <c r="C1287" t="s">
        <v>72</v>
      </c>
      <c r="D1287" t="s">
        <v>3478</v>
      </c>
      <c r="E1287" t="s">
        <v>74</v>
      </c>
      <c r="F1287" t="s">
        <v>3</v>
      </c>
      <c r="G1287" t="str">
        <f>HYPERLINK("https://www.facebook.com/antonov.vs/posts/pfbid0WoDA925DuzoodzbS7V28bt4ds9TmfsHEXjvxieTXWzQ3cuc53piJ6r5PvYjhKEdjl?comment_id=1228225322305290")</f>
        <v>https://www.facebook.com/antonov.vs/posts/pfbid0WoDA925DuzoodzbS7V28bt4ds9TmfsHEXjvxieTXWzQ3cuc53piJ6r5PvYjhKEdjl?comment_id=1228225322305290</v>
      </c>
      <c r="H1287" t="s">
        <v>28</v>
      </c>
      <c r="I1287" t="s">
        <v>3479</v>
      </c>
      <c r="J1287" t="s">
        <v>3480</v>
      </c>
      <c r="K1287" t="str">
        <f>HYPERLINK("https://www.facebook.com/100054572461867")</f>
        <v>https://www.facebook.com/100054572461867</v>
      </c>
      <c r="M1287" t="s">
        <v>40</v>
      </c>
      <c r="N1287" t="s">
        <v>31</v>
      </c>
      <c r="O1287" t="s">
        <v>1127</v>
      </c>
      <c r="P1287" t="str">
        <f>HYPERLINK("https://www.facebook.com/100002292546539")</f>
        <v>https://www.facebook.com/100002292546539</v>
      </c>
      <c r="Q1287">
        <v>485</v>
      </c>
      <c r="R1287" t="s">
        <v>32</v>
      </c>
      <c r="S1287" t="s">
        <v>33</v>
      </c>
      <c r="T1287" t="s">
        <v>34</v>
      </c>
      <c r="U1287" t="s">
        <v>1308</v>
      </c>
      <c r="V1287" t="s">
        <v>1309</v>
      </c>
    </row>
    <row r="1288" spans="1:22" ht="16">
      <c r="A1288" t="s">
        <v>2300</v>
      </c>
      <c r="B1288" t="s">
        <v>703</v>
      </c>
      <c r="C1288" t="s">
        <v>72</v>
      </c>
      <c r="D1288" t="s">
        <v>3481</v>
      </c>
      <c r="E1288" t="s">
        <v>74</v>
      </c>
      <c r="F1288" t="s">
        <v>3</v>
      </c>
      <c r="G1288" t="str">
        <f>HYPERLINK("https://www.facebook.com/antonov.vs/posts/pfbid0WoDA925DuzoodzbS7V28bt4ds9TmfsHEXjvxieTXWzQ3cuc53piJ6r5PvYjhKEdjl?comment_id=783297107674101&amp;reply_comment_id=33960321730248955")</f>
        <v>https://www.facebook.com/antonov.vs/posts/pfbid0WoDA925DuzoodzbS7V28bt4ds9TmfsHEXjvxieTXWzQ3cuc53piJ6r5PvYjhKEdjl?comment_id=783297107674101&amp;reply_comment_id=33960321730248955</v>
      </c>
      <c r="H1288" t="s">
        <v>28</v>
      </c>
      <c r="I1288" t="s">
        <v>3482</v>
      </c>
      <c r="K1288" t="str">
        <f>HYPERLINK("https://www.facebook.com/100050625002140")</f>
        <v>https://www.facebook.com/100050625002140</v>
      </c>
      <c r="M1288" t="s">
        <v>30</v>
      </c>
      <c r="N1288" t="s">
        <v>31</v>
      </c>
      <c r="O1288" t="s">
        <v>1127</v>
      </c>
      <c r="P1288" t="str">
        <f>HYPERLINK("https://www.facebook.com/100002292546539")</f>
        <v>https://www.facebook.com/100002292546539</v>
      </c>
      <c r="Q1288">
        <v>485</v>
      </c>
      <c r="R1288" t="s">
        <v>32</v>
      </c>
      <c r="S1288" t="s">
        <v>33</v>
      </c>
      <c r="T1288" t="s">
        <v>34</v>
      </c>
      <c r="U1288" t="s">
        <v>487</v>
      </c>
      <c r="V1288" t="s">
        <v>2479</v>
      </c>
    </row>
    <row r="1289" spans="1:22" ht="16">
      <c r="A1289" t="s">
        <v>2300</v>
      </c>
      <c r="B1289" t="s">
        <v>707</v>
      </c>
      <c r="C1289" t="s">
        <v>24</v>
      </c>
      <c r="D1289" t="s">
        <v>1976</v>
      </c>
      <c r="E1289" t="s">
        <v>45</v>
      </c>
      <c r="F1289" t="s">
        <v>46</v>
      </c>
      <c r="G1289" t="str">
        <f>HYPERLINK("https://www.facebook.com/765772186607165")</f>
        <v>https://www.facebook.com/765772186607165</v>
      </c>
      <c r="H1289" t="s">
        <v>28</v>
      </c>
      <c r="I1289" t="s">
        <v>3483</v>
      </c>
      <c r="K1289" t="str">
        <f>HYPERLINK("https://www.facebook.com/100095231710888")</f>
        <v>https://www.facebook.com/100095231710888</v>
      </c>
      <c r="M1289" t="s">
        <v>40</v>
      </c>
      <c r="N1289" t="s">
        <v>31</v>
      </c>
      <c r="O1289" t="s">
        <v>3483</v>
      </c>
      <c r="P1289" t="str">
        <f>HYPERLINK("https://www.facebook.com/100095231710888")</f>
        <v>https://www.facebook.com/100095231710888</v>
      </c>
      <c r="R1289" t="s">
        <v>32</v>
      </c>
      <c r="S1289" t="s">
        <v>33</v>
      </c>
      <c r="T1289" t="s">
        <v>34</v>
      </c>
      <c r="U1289" t="s">
        <v>1308</v>
      </c>
      <c r="V1289" t="s">
        <v>1309</v>
      </c>
    </row>
    <row r="1290" spans="1:22" ht="16">
      <c r="A1290" t="s">
        <v>2300</v>
      </c>
      <c r="B1290" t="s">
        <v>3484</v>
      </c>
      <c r="C1290" t="s">
        <v>72</v>
      </c>
      <c r="D1290" t="s">
        <v>3485</v>
      </c>
      <c r="E1290" t="s">
        <v>74</v>
      </c>
      <c r="F1290" t="s">
        <v>3</v>
      </c>
      <c r="G1290" t="str">
        <f>HYPERLINK("https://www.facebook.com/antonov.vs/posts/pfbid0WoDA925DuzoodzbS7V28bt4ds9TmfsHEXjvxieTXWzQ3cuc53piJ6r5PvYjhKEdjl?comment_id=944185741268655")</f>
        <v>https://www.facebook.com/antonov.vs/posts/pfbid0WoDA925DuzoodzbS7V28bt4ds9TmfsHEXjvxieTXWzQ3cuc53piJ6r5PvYjhKEdjl?comment_id=944185741268655</v>
      </c>
      <c r="H1290" t="s">
        <v>28</v>
      </c>
      <c r="I1290" t="s">
        <v>3471</v>
      </c>
      <c r="K1290" t="str">
        <f>HYPERLINK("https://www.facebook.com/100061256490968")</f>
        <v>https://www.facebook.com/100061256490968</v>
      </c>
      <c r="M1290" t="s">
        <v>40</v>
      </c>
      <c r="N1290" t="s">
        <v>31</v>
      </c>
      <c r="O1290" t="s">
        <v>1127</v>
      </c>
      <c r="P1290" t="str">
        <f>HYPERLINK("https://www.facebook.com/100002292546539")</f>
        <v>https://www.facebook.com/100002292546539</v>
      </c>
      <c r="Q1290">
        <v>485</v>
      </c>
      <c r="R1290" t="s">
        <v>32</v>
      </c>
      <c r="S1290" t="s">
        <v>859</v>
      </c>
      <c r="T1290" t="s">
        <v>34</v>
      </c>
      <c r="U1290" t="s">
        <v>2155</v>
      </c>
      <c r="V1290" t="s">
        <v>3486</v>
      </c>
    </row>
    <row r="1291" spans="1:22" ht="16">
      <c r="A1291" t="s">
        <v>2300</v>
      </c>
      <c r="B1291" t="s">
        <v>722</v>
      </c>
      <c r="C1291" t="s">
        <v>72</v>
      </c>
      <c r="D1291" t="s">
        <v>3487</v>
      </c>
      <c r="E1291" t="s">
        <v>74</v>
      </c>
      <c r="F1291" t="s">
        <v>3</v>
      </c>
      <c r="G1291" t="str">
        <f>HYPERLINK("https://www.facebook.com/antonov.vs/posts/pfbid0WoDA925DuzoodzbS7V28bt4ds9TmfsHEXjvxieTXWzQ3cuc53piJ6r5PvYjhKEdjl?comment_id=783297107674101")</f>
        <v>https://www.facebook.com/antonov.vs/posts/pfbid0WoDA925DuzoodzbS7V28bt4ds9TmfsHEXjvxieTXWzQ3cuc53piJ6r5PvYjhKEdjl?comment_id=783297107674101</v>
      </c>
      <c r="H1291" t="s">
        <v>28</v>
      </c>
      <c r="I1291" t="s">
        <v>3488</v>
      </c>
      <c r="K1291" t="str">
        <f>HYPERLINK("https://www.facebook.com/61555124392888")</f>
        <v>https://www.facebook.com/61555124392888</v>
      </c>
      <c r="M1291" t="s">
        <v>30</v>
      </c>
      <c r="N1291" t="s">
        <v>31</v>
      </c>
      <c r="O1291" t="s">
        <v>1127</v>
      </c>
      <c r="P1291" t="str">
        <f>HYPERLINK("https://www.facebook.com/100002292546539")</f>
        <v>https://www.facebook.com/100002292546539</v>
      </c>
      <c r="Q1291">
        <v>485</v>
      </c>
      <c r="R1291" t="s">
        <v>32</v>
      </c>
      <c r="S1291" t="s">
        <v>85</v>
      </c>
      <c r="T1291" t="s">
        <v>34</v>
      </c>
      <c r="U1291" t="s">
        <v>1308</v>
      </c>
      <c r="V1291" t="s">
        <v>1309</v>
      </c>
    </row>
    <row r="1292" spans="1:22" ht="16">
      <c r="A1292" t="s">
        <v>2300</v>
      </c>
      <c r="B1292" t="s">
        <v>722</v>
      </c>
      <c r="C1292" t="s">
        <v>24</v>
      </c>
      <c r="D1292" t="s">
        <v>1976</v>
      </c>
      <c r="E1292" t="s">
        <v>45</v>
      </c>
      <c r="F1292" t="s">
        <v>46</v>
      </c>
      <c r="G1292" t="str">
        <f>HYPERLINK("https://www.facebook.com/2109257686498275")</f>
        <v>https://www.facebook.com/2109257686498275</v>
      </c>
      <c r="H1292" t="s">
        <v>28</v>
      </c>
      <c r="I1292" t="s">
        <v>3489</v>
      </c>
      <c r="K1292" t="str">
        <f>HYPERLINK("https://www.facebook.com/100022421916685")</f>
        <v>https://www.facebook.com/100022421916685</v>
      </c>
      <c r="M1292" t="s">
        <v>30</v>
      </c>
      <c r="N1292" t="s">
        <v>31</v>
      </c>
      <c r="O1292" t="s">
        <v>3489</v>
      </c>
      <c r="P1292" t="str">
        <f>HYPERLINK("https://www.facebook.com/100022421916685")</f>
        <v>https://www.facebook.com/100022421916685</v>
      </c>
      <c r="R1292" t="s">
        <v>32</v>
      </c>
      <c r="S1292" t="s">
        <v>33</v>
      </c>
      <c r="T1292" t="s">
        <v>199</v>
      </c>
      <c r="U1292" t="s">
        <v>3490</v>
      </c>
      <c r="V1292" t="s">
        <v>3491</v>
      </c>
    </row>
    <row r="1293" spans="1:19" ht="16">
      <c r="A1293" t="s">
        <v>2300</v>
      </c>
      <c r="B1293" t="s">
        <v>3492</v>
      </c>
      <c r="C1293" t="s">
        <v>3493</v>
      </c>
      <c r="D1293" t="s">
        <v>3494</v>
      </c>
      <c r="E1293" t="s">
        <v>26</v>
      </c>
      <c r="F1293" t="s">
        <v>3</v>
      </c>
      <c r="G1293" t="str">
        <f>HYPERLINK("https://telegram.me/te20hvylyn/44228?comment=206865#6532332409390308844")</f>
        <v>https://telegram.me/te20hvylyn/44228?comment=206865#6532332409390308844</v>
      </c>
      <c r="H1293" t="s">
        <v>28</v>
      </c>
      <c r="I1293" t="s">
        <v>3495</v>
      </c>
      <c r="J1293" t="s">
        <v>3496</v>
      </c>
      <c r="K1293" t="str">
        <f>HYPERLINK("https://telegram.me/metk0_o")</f>
        <v>https://telegram.me/metk0_o</v>
      </c>
      <c r="N1293" t="s">
        <v>346</v>
      </c>
      <c r="O1293" t="s">
        <v>3497</v>
      </c>
      <c r="P1293" t="str">
        <f>HYPERLINK("https://telegram.me/te20hvylyn")</f>
        <v>https://telegram.me/te20hvylyn</v>
      </c>
      <c r="Q1293">
        <v>81054</v>
      </c>
      <c r="R1293" t="s">
        <v>3498</v>
      </c>
      <c r="S1293" t="s">
        <v>33</v>
      </c>
    </row>
    <row r="1294" spans="1:19" ht="16">
      <c r="A1294" t="s">
        <v>2300</v>
      </c>
      <c r="B1294" t="s">
        <v>3492</v>
      </c>
      <c r="C1294" t="s">
        <v>3499</v>
      </c>
      <c r="D1294" t="s">
        <v>3500</v>
      </c>
      <c r="E1294" t="s">
        <v>74</v>
      </c>
      <c r="F1294" t="s">
        <v>3</v>
      </c>
      <c r="G1294" t="str">
        <f>HYPERLINK("https://telegram.me/te20hvylyn/44228?comment=206865")</f>
        <v>https://telegram.me/te20hvylyn/44228?comment=206865</v>
      </c>
      <c r="H1294" t="s">
        <v>28</v>
      </c>
      <c r="I1294" t="s">
        <v>3495</v>
      </c>
      <c r="J1294" t="s">
        <v>3496</v>
      </c>
      <c r="K1294" t="str">
        <f>HYPERLINK("https://telegram.me/metk0_o")</f>
        <v>https://telegram.me/metk0_o</v>
      </c>
      <c r="N1294" t="s">
        <v>346</v>
      </c>
      <c r="O1294" t="s">
        <v>3497</v>
      </c>
      <c r="P1294" t="str">
        <f>HYPERLINK("https://telegram.me/te20hvylyn")</f>
        <v>https://telegram.me/te20hvylyn</v>
      </c>
      <c r="Q1294">
        <v>81054</v>
      </c>
      <c r="R1294" t="s">
        <v>347</v>
      </c>
      <c r="S1294" t="s">
        <v>33</v>
      </c>
    </row>
    <row r="1295" spans="1:19" ht="16">
      <c r="A1295" t="s">
        <v>2300</v>
      </c>
      <c r="B1295" t="s">
        <v>3501</v>
      </c>
      <c r="C1295" t="s">
        <v>24</v>
      </c>
      <c r="D1295" t="s">
        <v>341</v>
      </c>
      <c r="E1295" t="s">
        <v>45</v>
      </c>
      <c r="F1295" t="s">
        <v>342</v>
      </c>
      <c r="G1295" t="str">
        <f>HYPERLINK("https://telegram.me/chat_24tv_ua/359979")</f>
        <v>https://telegram.me/chat_24tv_ua/359979</v>
      </c>
      <c r="H1295" t="s">
        <v>28</v>
      </c>
      <c r="I1295" t="s">
        <v>3502</v>
      </c>
      <c r="J1295" t="s">
        <v>3503</v>
      </c>
      <c r="K1295" t="str">
        <f>HYPERLINK("https://telegram.me/zloyreducktor")</f>
        <v>https://telegram.me/zloyreducktor</v>
      </c>
      <c r="M1295" t="s">
        <v>40</v>
      </c>
      <c r="N1295" t="s">
        <v>346</v>
      </c>
      <c r="O1295" t="s">
        <v>3504</v>
      </c>
      <c r="P1295" t="str">
        <f>HYPERLINK("https://telegram.me/chat_24tv_ua")</f>
        <v>https://telegram.me/chat_24tv_ua</v>
      </c>
      <c r="Q1295">
        <v>559</v>
      </c>
      <c r="R1295" t="s">
        <v>347</v>
      </c>
      <c r="S1295" t="s">
        <v>33</v>
      </c>
    </row>
    <row r="1296" spans="1:22" ht="16">
      <c r="A1296" t="s">
        <v>2300</v>
      </c>
      <c r="B1296" t="s">
        <v>3505</v>
      </c>
      <c r="C1296" t="s">
        <v>24</v>
      </c>
      <c r="D1296" t="s">
        <v>1976</v>
      </c>
      <c r="E1296" t="s">
        <v>26</v>
      </c>
      <c r="F1296" t="s">
        <v>46</v>
      </c>
      <c r="G1296" t="str">
        <f>HYPERLINK("https://www.facebook.com/25976568192002911")</f>
        <v>https://www.facebook.com/25976568192002911</v>
      </c>
      <c r="H1296" t="s">
        <v>28</v>
      </c>
      <c r="I1296" t="s">
        <v>1127</v>
      </c>
      <c r="J1296" t="s">
        <v>3506</v>
      </c>
      <c r="K1296" t="str">
        <f>HYPERLINK("https://www.facebook.com/100002292546539")</f>
        <v>https://www.facebook.com/100002292546539</v>
      </c>
      <c r="L1296">
        <v>485</v>
      </c>
      <c r="M1296" t="s">
        <v>40</v>
      </c>
      <c r="N1296" t="s">
        <v>31</v>
      </c>
      <c r="O1296" t="s">
        <v>1127</v>
      </c>
      <c r="P1296" t="str">
        <f>HYPERLINK("https://www.facebook.com/100002292546539")</f>
        <v>https://www.facebook.com/100002292546539</v>
      </c>
      <c r="Q1296">
        <v>485</v>
      </c>
      <c r="R1296" t="s">
        <v>32</v>
      </c>
      <c r="S1296" t="s">
        <v>33</v>
      </c>
      <c r="T1296" t="s">
        <v>34</v>
      </c>
      <c r="U1296" t="s">
        <v>1308</v>
      </c>
      <c r="V1296" t="s">
        <v>1309</v>
      </c>
    </row>
    <row r="1297" spans="1:19" ht="16">
      <c r="A1297" t="s">
        <v>2300</v>
      </c>
      <c r="B1297" t="s">
        <v>1384</v>
      </c>
      <c r="C1297" t="s">
        <v>24</v>
      </c>
      <c r="D1297" t="s">
        <v>3507</v>
      </c>
      <c r="E1297" t="s">
        <v>26</v>
      </c>
      <c r="F1297" t="s">
        <v>342</v>
      </c>
      <c r="G1297" t="str">
        <f>HYPERLINK("https://telegram.me/radnyknews/36051")</f>
        <v>https://telegram.me/radnyknews/36051</v>
      </c>
      <c r="H1297" t="s">
        <v>28</v>
      </c>
      <c r="I1297" t="s">
        <v>3493</v>
      </c>
      <c r="J1297" t="s">
        <v>3508</v>
      </c>
      <c r="K1297" t="str">
        <f>HYPERLINK("https://telegram.me/radnyknews")</f>
        <v>https://telegram.me/radnyknews</v>
      </c>
      <c r="L1297">
        <v>708605</v>
      </c>
      <c r="M1297" t="s">
        <v>345</v>
      </c>
      <c r="N1297" t="s">
        <v>346</v>
      </c>
      <c r="O1297" t="s">
        <v>3493</v>
      </c>
      <c r="P1297" t="str">
        <f>HYPERLINK("https://telegram.me/radnyknews")</f>
        <v>https://telegram.me/radnyknews</v>
      </c>
      <c r="Q1297">
        <v>708605</v>
      </c>
      <c r="R1297" t="s">
        <v>347</v>
      </c>
      <c r="S1297" t="s">
        <v>33</v>
      </c>
    </row>
    <row r="1298" spans="1:19" ht="16">
      <c r="A1298" t="s">
        <v>2300</v>
      </c>
      <c r="B1298" t="s">
        <v>730</v>
      </c>
      <c r="C1298" t="s">
        <v>24</v>
      </c>
      <c r="D1298" t="s">
        <v>341</v>
      </c>
      <c r="E1298" t="s">
        <v>26</v>
      </c>
      <c r="F1298" t="s">
        <v>342</v>
      </c>
      <c r="G1298" t="str">
        <f>HYPERLINK("https://telegram.me/vidsichu/11827")</f>
        <v>https://telegram.me/vidsichu/11827</v>
      </c>
      <c r="H1298" t="s">
        <v>28</v>
      </c>
      <c r="I1298" t="s">
        <v>3509</v>
      </c>
      <c r="J1298" t="s">
        <v>3510</v>
      </c>
      <c r="K1298" t="str">
        <f>HYPERLINK("https://telegram.me/vidsichu")</f>
        <v>https://telegram.me/vidsichu</v>
      </c>
      <c r="L1298">
        <v>80183</v>
      </c>
      <c r="M1298" t="s">
        <v>345</v>
      </c>
      <c r="N1298" t="s">
        <v>346</v>
      </c>
      <c r="O1298" t="s">
        <v>3509</v>
      </c>
      <c r="P1298" t="str">
        <f>HYPERLINK("https://telegram.me/vidsichu")</f>
        <v>https://telegram.me/vidsichu</v>
      </c>
      <c r="Q1298">
        <v>80183</v>
      </c>
      <c r="R1298" t="s">
        <v>347</v>
      </c>
      <c r="S1298" t="s">
        <v>33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AppVersion>14.0300</AppVersion>
  <DocSecurity>0</DocSecurity>
  <HeadingPairs>
    <vt:vector size="2" baseType="variant">
      <vt:variant>
        <vt:lpstr>Worksheets</vt:lpstr>
      </vt:variant>
      <vt:variant>
        <vt:i4>1</vt:i4>
      </vt:variant>
    </vt:vector>
  </HeadingPairs>
  <TitlesOfParts>
    <vt:vector size="1" baseType="lpstr">
      <vt:lpstr>Згадування</vt:lpstr>
    </vt:vector>
  </TitlesOfParts>
  <Template/>
  <Manager/>
  <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category/>
</cp:coreProperties>
</file>